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codeName="ThisWorkbook"/>
  <mc:AlternateContent xmlns:mc="http://schemas.openxmlformats.org/markup-compatibility/2006">
    <mc:Choice Requires="x15">
      <x15ac:absPath xmlns:x15ac="http://schemas.microsoft.com/office/spreadsheetml/2010/11/ac" url="/Users/antoniosaraiva/Desktop/"/>
    </mc:Choice>
  </mc:AlternateContent>
  <xr:revisionPtr revIDLastSave="0" documentId="13_ncr:1_{599207FC-ABE7-4E49-9736-3E8C72E0577D}" xr6:coauthVersionLast="47" xr6:coauthVersionMax="47" xr10:uidLastSave="{00000000-0000-0000-0000-000000000000}"/>
  <bookViews>
    <workbookView xWindow="0" yWindow="740" windowWidth="30240" windowHeight="18900" activeTab="4" xr2:uid="{00000000-000D-0000-FFFF-FFFF00000000}"/>
  </bookViews>
  <sheets>
    <sheet name="BD 2023" sheetId="4" state="hidden" r:id="rId1"/>
    <sheet name="BD 2024" sheetId="1" state="hidden" r:id="rId2"/>
    <sheet name="23 vs 24" sheetId="5" state="hidden" r:id="rId3"/>
    <sheet name="Folha1" sheetId="6" state="hidden" r:id="rId4"/>
    <sheet name="Base de Dados" sheetId="11" r:id="rId5"/>
    <sheet name="Base de Cálculo" sheetId="10" r:id="rId6"/>
    <sheet name="NB Dashboard 2024" sheetId="12" r:id="rId7"/>
    <sheet name="NB Dashboard 2025" sheetId="7" r:id="rId8"/>
    <sheet name="NB Dashboard 2026" sheetId="14" r:id="rId9"/>
    <sheet name="NB Overview 2025" sheetId="13" state="hidden" r:id="rId10"/>
  </sheets>
  <externalReferences>
    <externalReference r:id="rId11"/>
  </externalReferences>
  <definedNames>
    <definedName name="_xlnm._FilterDatabase" localSheetId="4" hidden="1">'Base de Dados'!$A$2:$AE$223</definedName>
    <definedName name="_xlnm._FilterDatabase" localSheetId="0" hidden="1">'BD 2023'!$C$5:$M$80</definedName>
    <definedName name="_xlnm._FilterDatabase" localSheetId="1" hidden="1">'BD 2024'!$D$6:$W$84</definedName>
    <definedName name="categoria">[1]dados!$D$3:$D$5</definedName>
    <definedName name="resultado">[1]dados!$B$3:$B$5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33" i="11" l="1"/>
  <c r="P233" i="11"/>
  <c r="Q233" i="11"/>
  <c r="V232" i="11"/>
  <c r="P232" i="11"/>
  <c r="Q232" i="11"/>
  <c r="AD225" i="11"/>
  <c r="AC225" i="11"/>
  <c r="AD151" i="11"/>
  <c r="V231" i="11"/>
  <c r="P231" i="11"/>
  <c r="Q231" i="11"/>
  <c r="V230" i="11"/>
  <c r="Q230" i="11"/>
  <c r="P230" i="11"/>
  <c r="V229" i="11"/>
  <c r="P229" i="11"/>
  <c r="Q229" i="11"/>
  <c r="V228" i="11"/>
  <c r="P228" i="11"/>
  <c r="Q228" i="11"/>
  <c r="V227" i="11"/>
  <c r="P227" i="11"/>
  <c r="Q227" i="11"/>
  <c r="V226" i="11"/>
  <c r="P226" i="11"/>
  <c r="Q226" i="11"/>
  <c r="V225" i="11"/>
  <c r="P225" i="11"/>
  <c r="Q225" i="11"/>
  <c r="V224" i="11"/>
  <c r="P224" i="11"/>
  <c r="Q224" i="11"/>
  <c r="V223" i="11"/>
  <c r="P223" i="11"/>
  <c r="Q223" i="11"/>
  <c r="V222" i="11"/>
  <c r="Q222" i="11"/>
  <c r="P222" i="11"/>
  <c r="V221" i="11"/>
  <c r="P221" i="11"/>
  <c r="Q221" i="11"/>
  <c r="V220" i="11"/>
  <c r="P220" i="11"/>
  <c r="Q220" i="11"/>
  <c r="V214" i="11"/>
  <c r="V219" i="11"/>
  <c r="P219" i="11"/>
  <c r="Q219" i="11"/>
  <c r="V212" i="11"/>
  <c r="P212" i="11"/>
  <c r="Q212" i="11"/>
  <c r="V218" i="11"/>
  <c r="P218" i="11"/>
  <c r="Q218" i="11"/>
  <c r="V217" i="11"/>
  <c r="P217" i="11"/>
  <c r="Q217" i="11"/>
  <c r="AA213" i="11"/>
  <c r="AB213" i="11"/>
  <c r="V216" i="11"/>
  <c r="P216" i="11"/>
  <c r="Q216" i="11"/>
  <c r="V215" i="11"/>
  <c r="P215" i="11"/>
  <c r="Q215" i="11"/>
  <c r="P214" i="11"/>
  <c r="Q214" i="11"/>
  <c r="V213" i="11"/>
  <c r="P213" i="11"/>
  <c r="Q213" i="11"/>
  <c r="V211" i="11"/>
  <c r="Q211" i="11"/>
  <c r="P211" i="11"/>
  <c r="V210" i="11"/>
  <c r="P210" i="11"/>
  <c r="Q210" i="11"/>
  <c r="V209" i="11"/>
  <c r="Q209" i="11"/>
  <c r="P209" i="11"/>
  <c r="V208" i="11"/>
  <c r="Q208" i="11"/>
  <c r="P208" i="11"/>
  <c r="V207" i="11"/>
  <c r="Q207" i="11"/>
  <c r="P207" i="11"/>
  <c r="AD213" i="11" l="1"/>
  <c r="AC213" i="11"/>
  <c r="V206" i="11"/>
  <c r="P206" i="11"/>
  <c r="Q206" i="11"/>
  <c r="V202" i="11"/>
  <c r="V203" i="11"/>
  <c r="P202" i="11"/>
  <c r="Q202" i="11"/>
  <c r="V205" i="11"/>
  <c r="P205" i="11"/>
  <c r="Q205" i="11"/>
  <c r="V204" i="11"/>
  <c r="P204" i="11"/>
  <c r="Q204" i="11"/>
  <c r="AD193" i="11"/>
  <c r="AC193" i="11"/>
  <c r="Q203" i="11"/>
  <c r="P203" i="11"/>
  <c r="V201" i="11"/>
  <c r="P201" i="11"/>
  <c r="Q201" i="11"/>
  <c r="V200" i="11" l="1"/>
  <c r="P200" i="11"/>
  <c r="Q200" i="11"/>
  <c r="V199" i="11"/>
  <c r="P199" i="11"/>
  <c r="Q199" i="11"/>
  <c r="V198" i="11"/>
  <c r="Q198" i="11"/>
  <c r="P198" i="11"/>
  <c r="V197" i="11"/>
  <c r="P197" i="11"/>
  <c r="Q197" i="11"/>
  <c r="P195" i="11" l="1"/>
  <c r="Q195" i="11"/>
  <c r="V195" i="11"/>
  <c r="P196" i="11"/>
  <c r="Q196" i="11"/>
  <c r="V196" i="11"/>
  <c r="E36" i="10"/>
  <c r="V191" i="11"/>
  <c r="P191" i="11"/>
  <c r="Q191" i="11"/>
  <c r="V192" i="11"/>
  <c r="Q192" i="11"/>
  <c r="P192" i="11"/>
  <c r="V194" i="11"/>
  <c r="V193" i="11"/>
  <c r="P194" i="11"/>
  <c r="Q194" i="11"/>
  <c r="P193" i="11"/>
  <c r="Q193" i="11"/>
  <c r="V190" i="11"/>
  <c r="P190" i="11"/>
  <c r="Q190" i="11"/>
  <c r="V189" i="11"/>
  <c r="P189" i="11"/>
  <c r="Q189" i="11"/>
  <c r="U47" i="10"/>
  <c r="U46" i="10"/>
  <c r="U45" i="10"/>
  <c r="U44" i="10"/>
  <c r="S47" i="10"/>
  <c r="S46" i="10"/>
  <c r="S45" i="10"/>
  <c r="S44" i="10"/>
  <c r="V150" i="11"/>
  <c r="V188" i="11" l="1"/>
  <c r="P188" i="11"/>
  <c r="Q188" i="11"/>
  <c r="J180" i="11"/>
  <c r="P180" i="11"/>
  <c r="Q180" i="11"/>
  <c r="V180" i="11"/>
  <c r="V187" i="11"/>
  <c r="P187" i="11"/>
  <c r="Q187" i="11"/>
  <c r="G36" i="10"/>
  <c r="F36" i="10"/>
  <c r="F26" i="10"/>
  <c r="V186" i="11"/>
  <c r="P186" i="11"/>
  <c r="Q186" i="11"/>
  <c r="V185" i="11"/>
  <c r="P185" i="11"/>
  <c r="Q185" i="11"/>
  <c r="V184" i="11" l="1"/>
  <c r="P184" i="11"/>
  <c r="Q184" i="11"/>
  <c r="AB140" i="11"/>
  <c r="AD140" i="11" s="1"/>
  <c r="V183" i="11"/>
  <c r="V1048103" i="11"/>
  <c r="P183" i="11"/>
  <c r="Q183" i="11"/>
  <c r="J183" i="11"/>
  <c r="V182" i="11"/>
  <c r="P182" i="11"/>
  <c r="Q182" i="11"/>
  <c r="J182" i="11"/>
  <c r="AC140" i="11" l="1"/>
  <c r="J142" i="11"/>
  <c r="P142" i="11"/>
  <c r="Q142" i="11"/>
  <c r="V142" i="11"/>
  <c r="M140" i="11"/>
  <c r="V181" i="11"/>
  <c r="P181" i="11"/>
  <c r="Q181" i="11"/>
  <c r="V179" i="11" l="1"/>
  <c r="P179" i="11"/>
  <c r="Q179" i="11"/>
  <c r="V178" i="11"/>
  <c r="P178" i="11"/>
  <c r="Q178" i="11"/>
  <c r="V177" i="11"/>
  <c r="P177" i="11"/>
  <c r="Q177" i="11"/>
  <c r="V176" i="11"/>
  <c r="P176" i="11"/>
  <c r="Q176" i="11"/>
  <c r="V175" i="11"/>
  <c r="P175" i="11"/>
  <c r="Q175" i="11"/>
  <c r="V174" i="11"/>
  <c r="P174" i="11"/>
  <c r="Q174" i="11"/>
  <c r="V173" i="11"/>
  <c r="P173" i="11"/>
  <c r="Q173" i="11"/>
  <c r="F32" i="10" l="1"/>
  <c r="F31" i="10"/>
  <c r="F33" i="10"/>
  <c r="F30" i="10"/>
  <c r="F37" i="10"/>
  <c r="F35" i="10"/>
  <c r="F34" i="10"/>
  <c r="V172" i="11"/>
  <c r="P172" i="11"/>
  <c r="Q172" i="11"/>
  <c r="V171" i="11"/>
  <c r="P171" i="11"/>
  <c r="Q171" i="11"/>
  <c r="V170" i="11" l="1"/>
  <c r="Q170" i="11"/>
  <c r="P170" i="11"/>
  <c r="J170" i="11"/>
  <c r="V169" i="11"/>
  <c r="Q169" i="11"/>
  <c r="P169" i="11"/>
  <c r="J169" i="11"/>
  <c r="P167" i="11"/>
  <c r="Q167" i="11"/>
  <c r="P168" i="11"/>
  <c r="Q168" i="11"/>
  <c r="V168" i="11"/>
  <c r="V167" i="11"/>
  <c r="V166" i="11" l="1"/>
  <c r="P166" i="11"/>
  <c r="Q166" i="11"/>
  <c r="J166" i="11"/>
  <c r="V165" i="11"/>
  <c r="P165" i="11"/>
  <c r="Q165" i="11"/>
  <c r="V164" i="11"/>
  <c r="P164" i="11"/>
  <c r="Q164" i="11"/>
  <c r="J164" i="11"/>
  <c r="V163" i="11" l="1"/>
  <c r="P163" i="11"/>
  <c r="Q163" i="11"/>
  <c r="V162" i="11"/>
  <c r="P162" i="11"/>
  <c r="Q162" i="11"/>
  <c r="V161" i="11"/>
  <c r="P161" i="11"/>
  <c r="Q161" i="11"/>
  <c r="V160" i="11"/>
  <c r="P160" i="11"/>
  <c r="Q160" i="11"/>
  <c r="Q159" i="11"/>
  <c r="P159" i="11"/>
  <c r="V158" i="11"/>
  <c r="P158" i="11"/>
  <c r="Q158" i="11"/>
  <c r="P157" i="11" l="1"/>
  <c r="Q157" i="11"/>
  <c r="P156" i="11"/>
  <c r="Q156" i="11"/>
  <c r="V157" i="11"/>
  <c r="AC151" i="11" l="1"/>
  <c r="P154" i="11" l="1"/>
  <c r="Q154" i="11"/>
  <c r="P155" i="11"/>
  <c r="Q155" i="11"/>
  <c r="V155" i="11"/>
  <c r="AD150" i="11"/>
  <c r="AC150" i="11"/>
  <c r="V153" i="11"/>
  <c r="P153" i="11"/>
  <c r="Q153" i="11"/>
  <c r="J153" i="11"/>
  <c r="P152" i="11"/>
  <c r="Q152" i="11"/>
  <c r="AD114" i="11"/>
  <c r="AC114" i="11"/>
  <c r="V151" i="11"/>
  <c r="Q151" i="11"/>
  <c r="P151" i="11"/>
  <c r="J151" i="11"/>
  <c r="P150" i="11"/>
  <c r="Q150" i="11"/>
  <c r="J150" i="11"/>
  <c r="P149" i="11"/>
  <c r="Q149" i="11"/>
  <c r="V148" i="11"/>
  <c r="Q148" i="11"/>
  <c r="P148" i="11"/>
  <c r="J148" i="11"/>
  <c r="Q147" i="11"/>
  <c r="P147" i="11"/>
  <c r="J147" i="11"/>
  <c r="V146" i="11"/>
  <c r="Q146" i="11"/>
  <c r="P146" i="11"/>
  <c r="J146" i="11"/>
  <c r="Q145" i="11"/>
  <c r="P145" i="11"/>
  <c r="J145" i="11"/>
  <c r="Q144" i="11"/>
  <c r="P144" i="11"/>
  <c r="J144" i="11"/>
  <c r="V143" i="11"/>
  <c r="Q143" i="11"/>
  <c r="P143" i="11"/>
  <c r="J143" i="11"/>
  <c r="M104" i="11"/>
  <c r="V140" i="11" l="1"/>
  <c r="P140" i="11"/>
  <c r="Q140" i="11"/>
  <c r="J140" i="11"/>
  <c r="Q141" i="11"/>
  <c r="P141" i="11"/>
  <c r="J141" i="11"/>
  <c r="AD104" i="11"/>
  <c r="AD86" i="11"/>
  <c r="V139" i="11"/>
  <c r="P139" i="11"/>
  <c r="Q139" i="11"/>
  <c r="J139" i="11"/>
  <c r="P138" i="11"/>
  <c r="Q138" i="11"/>
  <c r="J138" i="11"/>
  <c r="N30" i="10" l="1"/>
  <c r="N31" i="10"/>
  <c r="V137" i="11"/>
  <c r="P137" i="11"/>
  <c r="Q137" i="11"/>
  <c r="J137" i="11"/>
  <c r="V136" i="11"/>
  <c r="P136" i="11"/>
  <c r="Q136" i="11"/>
  <c r="J136" i="11"/>
  <c r="V135" i="11"/>
  <c r="P135" i="11"/>
  <c r="Q135" i="11"/>
  <c r="J135" i="11"/>
  <c r="P129" i="11"/>
  <c r="Q129" i="11"/>
  <c r="J129" i="11"/>
  <c r="V134" i="11"/>
  <c r="Q134" i="11"/>
  <c r="P134" i="11"/>
  <c r="J134" i="11"/>
  <c r="J290" i="11"/>
  <c r="V133" i="11"/>
  <c r="P133" i="11"/>
  <c r="Q133" i="11"/>
  <c r="J133" i="11"/>
  <c r="P132" i="11"/>
  <c r="Q132" i="11"/>
  <c r="J132" i="11"/>
  <c r="Q131" i="11"/>
  <c r="P131" i="11"/>
  <c r="J131" i="11"/>
  <c r="V130" i="11"/>
  <c r="Q130" i="11"/>
  <c r="P130" i="11"/>
  <c r="J130" i="11"/>
  <c r="Q128" i="11"/>
  <c r="P128" i="11"/>
  <c r="J128" i="11"/>
  <c r="M86" i="11"/>
  <c r="P127" i="11"/>
  <c r="Q127" i="11"/>
  <c r="J127" i="11"/>
  <c r="P126" i="11"/>
  <c r="Q126" i="11"/>
  <c r="J126" i="11"/>
  <c r="V125" i="11"/>
  <c r="P125" i="11"/>
  <c r="Q125" i="11"/>
  <c r="J125" i="11"/>
  <c r="P124" i="11"/>
  <c r="Q124" i="11"/>
  <c r="J124" i="11"/>
  <c r="V123" i="11"/>
  <c r="P123" i="11"/>
  <c r="Q123" i="11"/>
  <c r="J123" i="11"/>
  <c r="V118" i="11"/>
  <c r="P122" i="11"/>
  <c r="Q122" i="11"/>
  <c r="J122" i="11"/>
  <c r="V121" i="11" l="1"/>
  <c r="P121" i="11"/>
  <c r="Q121" i="11"/>
  <c r="J121" i="11"/>
  <c r="V120" i="11"/>
  <c r="P120" i="11"/>
  <c r="Q120" i="11"/>
  <c r="J120" i="11"/>
  <c r="P119" i="11" l="1"/>
  <c r="Q119" i="11"/>
  <c r="J119" i="11"/>
  <c r="V105" i="11"/>
  <c r="V115" i="11"/>
  <c r="P118" i="11"/>
  <c r="Q118" i="11"/>
  <c r="J118" i="11"/>
  <c r="Q117" i="11"/>
  <c r="P117" i="11"/>
  <c r="J117" i="11"/>
  <c r="P116" i="11"/>
  <c r="Q116" i="11"/>
  <c r="J116" i="11"/>
  <c r="V114" i="11"/>
  <c r="P115" i="11"/>
  <c r="Q115" i="11"/>
  <c r="P114" i="11"/>
  <c r="Q114" i="11"/>
  <c r="J115" i="11"/>
  <c r="J114" i="11"/>
  <c r="V39" i="11"/>
  <c r="V36" i="11"/>
  <c r="P113" i="11"/>
  <c r="Q113" i="11"/>
  <c r="J113" i="11"/>
  <c r="V112" i="11"/>
  <c r="J112" i="11"/>
  <c r="AD18" i="11" l="1"/>
  <c r="AG18" i="11" l="1"/>
  <c r="AH15" i="11" s="1"/>
  <c r="AD7" i="11"/>
  <c r="AC7" i="11"/>
  <c r="AD3" i="11"/>
  <c r="AH16" i="11" l="1"/>
  <c r="AH17" i="11"/>
  <c r="P112" i="11" l="1"/>
  <c r="Q112" i="11"/>
  <c r="V111" i="11"/>
  <c r="P111" i="11"/>
  <c r="Q111" i="11"/>
  <c r="J111" i="11"/>
  <c r="V99" i="11"/>
  <c r="J110" i="11"/>
  <c r="P110" i="11" l="1"/>
  <c r="Q110" i="11"/>
  <c r="Q109" i="11" l="1"/>
  <c r="P109" i="11"/>
  <c r="J109" i="11"/>
  <c r="Q108" i="11"/>
  <c r="P108" i="11"/>
  <c r="J108" i="11"/>
  <c r="Q107" i="11"/>
  <c r="P107" i="11"/>
  <c r="J107" i="11"/>
  <c r="V106" i="11"/>
  <c r="Q106" i="11"/>
  <c r="P106" i="11"/>
  <c r="J106" i="11"/>
  <c r="P105" i="11"/>
  <c r="Q105" i="11"/>
  <c r="J105" i="11"/>
  <c r="V104" i="11"/>
  <c r="V102" i="11"/>
  <c r="P104" i="11"/>
  <c r="Q104" i="11"/>
  <c r="J104" i="11"/>
  <c r="V78" i="11"/>
  <c r="V77" i="11"/>
  <c r="J103" i="11"/>
  <c r="P103" i="11"/>
  <c r="Q103" i="11"/>
  <c r="Q101" i="11"/>
  <c r="P101" i="11"/>
  <c r="Q102" i="11"/>
  <c r="P102" i="11"/>
  <c r="P100" i="11"/>
  <c r="J102" i="11"/>
  <c r="J101" i="11"/>
  <c r="Q100" i="11"/>
  <c r="J100" i="11"/>
  <c r="P99" i="11"/>
  <c r="Q99" i="11"/>
  <c r="J99" i="11"/>
  <c r="M83" i="11"/>
  <c r="T37" i="10" l="1"/>
  <c r="T30" i="10"/>
  <c r="T34" i="10"/>
  <c r="T31" i="10"/>
  <c r="T36" i="10"/>
  <c r="T32" i="10"/>
  <c r="T33" i="10"/>
  <c r="T35" i="10"/>
  <c r="L32" i="10"/>
  <c r="L31" i="10"/>
  <c r="L30" i="10"/>
  <c r="L33" i="10"/>
  <c r="P98" i="11"/>
  <c r="Q98" i="11"/>
  <c r="J98" i="11"/>
  <c r="V91" i="11"/>
  <c r="Q97" i="11"/>
  <c r="P97" i="11"/>
  <c r="J97" i="11"/>
  <c r="P96" i="11"/>
  <c r="Q96" i="11"/>
  <c r="J96" i="11"/>
  <c r="V95" i="11"/>
  <c r="P89" i="11"/>
  <c r="Q89" i="11"/>
  <c r="P95" i="11"/>
  <c r="Q95" i="11"/>
  <c r="J95" i="11"/>
  <c r="Q94" i="11"/>
  <c r="P94" i="11"/>
  <c r="J94" i="11"/>
  <c r="V93" i="11"/>
  <c r="P93" i="11"/>
  <c r="Q93" i="11"/>
  <c r="J92" i="11"/>
  <c r="J93" i="11"/>
  <c r="V86" i="11"/>
  <c r="P92" i="11"/>
  <c r="Q92" i="11"/>
  <c r="P91" i="11"/>
  <c r="Q91" i="11"/>
  <c r="J91" i="11"/>
  <c r="V90" i="11"/>
  <c r="T27" i="10"/>
  <c r="T26" i="10"/>
  <c r="T25" i="10"/>
  <c r="T24" i="10"/>
  <c r="T23" i="10"/>
  <c r="T22" i="10"/>
  <c r="T21" i="10"/>
  <c r="T20" i="10"/>
  <c r="F16" i="10"/>
  <c r="Q90" i="11"/>
  <c r="P90" i="11"/>
  <c r="J90" i="11"/>
  <c r="V88" i="11"/>
  <c r="J89" i="11"/>
  <c r="P88" i="11"/>
  <c r="Q88" i="11"/>
  <c r="J88" i="11"/>
  <c r="V87" i="11"/>
  <c r="P87" i="11"/>
  <c r="Q87" i="11"/>
  <c r="J87" i="11"/>
  <c r="M84" i="11"/>
  <c r="V66" i="11"/>
  <c r="V15" i="11"/>
  <c r="J15" i="11"/>
  <c r="V83" i="11"/>
  <c r="Q83" i="11"/>
  <c r="P83" i="11"/>
  <c r="J83" i="11"/>
  <c r="Q84" i="11"/>
  <c r="P84" i="11"/>
  <c r="T16" i="10"/>
  <c r="T15" i="10"/>
  <c r="T14" i="10"/>
  <c r="T13" i="10"/>
  <c r="T12" i="10"/>
  <c r="T11" i="10"/>
  <c r="T10" i="10"/>
  <c r="N16" i="10"/>
  <c r="N15" i="10"/>
  <c r="N14" i="10"/>
  <c r="N13" i="10"/>
  <c r="N12" i="10"/>
  <c r="N11" i="10"/>
  <c r="N10" i="10"/>
  <c r="J59" i="11"/>
  <c r="J57" i="11"/>
  <c r="AA16" i="11"/>
  <c r="AD16" i="11" s="1"/>
  <c r="AD9" i="11"/>
  <c r="AC9" i="11"/>
  <c r="AD8" i="11"/>
  <c r="AD6" i="11"/>
  <c r="AC6" i="11"/>
  <c r="AD4" i="11"/>
  <c r="AC4" i="11"/>
  <c r="AD10" i="11"/>
  <c r="AC10" i="11"/>
  <c r="AC13" i="11"/>
  <c r="AC3" i="11"/>
  <c r="AD19" i="11"/>
  <c r="AD14" i="11"/>
  <c r="AC14" i="11"/>
  <c r="AB11" i="11"/>
  <c r="AD11" i="11" s="1"/>
  <c r="AA11" i="11"/>
  <c r="V59" i="11"/>
  <c r="V57" i="11"/>
  <c r="V84" i="11"/>
  <c r="V75" i="11"/>
  <c r="V79" i="11"/>
  <c r="V74" i="11"/>
  <c r="V73" i="11"/>
  <c r="V76" i="11"/>
  <c r="V80" i="11"/>
  <c r="V81" i="11"/>
  <c r="V55" i="11"/>
  <c r="V54" i="11"/>
  <c r="V69" i="11"/>
  <c r="V68" i="11"/>
  <c r="V58" i="11"/>
  <c r="V70" i="11"/>
  <c r="V65" i="11"/>
  <c r="V71" i="11"/>
  <c r="V72" i="11"/>
  <c r="V67" i="11"/>
  <c r="V63" i="11"/>
  <c r="V62" i="11"/>
  <c r="V60" i="11"/>
  <c r="V56" i="11"/>
  <c r="V61" i="11"/>
  <c r="V64" i="11"/>
  <c r="V20" i="11"/>
  <c r="V27" i="11"/>
  <c r="V42" i="11"/>
  <c r="V49" i="11"/>
  <c r="V52" i="11"/>
  <c r="V25" i="11"/>
  <c r="V24" i="11"/>
  <c r="V21" i="11"/>
  <c r="V28" i="11"/>
  <c r="V29" i="11"/>
  <c r="V47" i="11"/>
  <c r="V46" i="11"/>
  <c r="V45" i="11"/>
  <c r="V44" i="11"/>
  <c r="V43" i="11"/>
  <c r="V26" i="11"/>
  <c r="V51" i="11"/>
  <c r="V50" i="11"/>
  <c r="V38" i="11"/>
  <c r="V37" i="11"/>
  <c r="V53" i="11"/>
  <c r="V23" i="11"/>
  <c r="V41" i="11"/>
  <c r="V40" i="11"/>
  <c r="V22" i="11"/>
  <c r="V33" i="11"/>
  <c r="V31" i="11"/>
  <c r="V30" i="11"/>
  <c r="V32" i="11"/>
  <c r="V48" i="11"/>
  <c r="V35" i="11"/>
  <c r="V34" i="11"/>
  <c r="V16" i="11"/>
  <c r="V17" i="11"/>
  <c r="V12" i="11"/>
  <c r="V9" i="11"/>
  <c r="V7" i="11"/>
  <c r="V8" i="11"/>
  <c r="V6" i="11"/>
  <c r="V5" i="11"/>
  <c r="V4" i="11"/>
  <c r="V18" i="11"/>
  <c r="V10" i="11"/>
  <c r="V13" i="11"/>
  <c r="V3" i="11"/>
  <c r="V19" i="11"/>
  <c r="V14" i="11"/>
  <c r="V11" i="11"/>
  <c r="M24" i="11"/>
  <c r="M5" i="11"/>
  <c r="M19" i="11"/>
  <c r="M14" i="11"/>
  <c r="Q85" i="11"/>
  <c r="Q82" i="11"/>
  <c r="Q86" i="11"/>
  <c r="P85" i="11"/>
  <c r="P82" i="11"/>
  <c r="P86" i="11"/>
  <c r="J84" i="11"/>
  <c r="J75" i="11"/>
  <c r="J78" i="11"/>
  <c r="J79" i="11"/>
  <c r="J74" i="11"/>
  <c r="J73" i="11"/>
  <c r="J77" i="11"/>
  <c r="J76" i="11"/>
  <c r="J80" i="11"/>
  <c r="J81" i="11"/>
  <c r="J66" i="11"/>
  <c r="J55" i="11"/>
  <c r="J54" i="11"/>
  <c r="J69" i="11"/>
  <c r="J68" i="11"/>
  <c r="J58" i="11"/>
  <c r="J70" i="11"/>
  <c r="J65" i="11"/>
  <c r="J71" i="11"/>
  <c r="J72" i="11"/>
  <c r="J67" i="11"/>
  <c r="J63" i="11"/>
  <c r="J62" i="11"/>
  <c r="J60" i="11"/>
  <c r="J56" i="11"/>
  <c r="J61" i="11"/>
  <c r="J64" i="11"/>
  <c r="J20" i="11"/>
  <c r="J27" i="11"/>
  <c r="J42" i="11"/>
  <c r="J49" i="11"/>
  <c r="J52" i="11"/>
  <c r="J25" i="11"/>
  <c r="J24" i="11"/>
  <c r="J36" i="11"/>
  <c r="J21" i="11"/>
  <c r="J28" i="11"/>
  <c r="J29" i="11"/>
  <c r="J47" i="11"/>
  <c r="J46" i="11"/>
  <c r="J45" i="11"/>
  <c r="J44" i="11"/>
  <c r="J43" i="11"/>
  <c r="J26" i="11"/>
  <c r="J51" i="11"/>
  <c r="J50" i="11"/>
  <c r="J38" i="11"/>
  <c r="J37" i="11"/>
  <c r="J53" i="11"/>
  <c r="J23" i="11"/>
  <c r="J39" i="11"/>
  <c r="J41" i="11"/>
  <c r="J40" i="11"/>
  <c r="J22" i="11"/>
  <c r="J33" i="11"/>
  <c r="J31" i="11"/>
  <c r="J30" i="11"/>
  <c r="J32" i="11"/>
  <c r="J48" i="11"/>
  <c r="J35" i="11"/>
  <c r="J34" i="11"/>
  <c r="J16" i="11"/>
  <c r="J17" i="11"/>
  <c r="J12" i="11"/>
  <c r="J9" i="11"/>
  <c r="J7" i="11"/>
  <c r="J8" i="11"/>
  <c r="J6" i="11"/>
  <c r="J5" i="11"/>
  <c r="J4" i="11"/>
  <c r="J18" i="11"/>
  <c r="J10" i="11"/>
  <c r="J13" i="11"/>
  <c r="J3" i="11"/>
  <c r="J19" i="11"/>
  <c r="J14" i="11"/>
  <c r="J11" i="11"/>
  <c r="V85" i="11"/>
  <c r="J85" i="11"/>
  <c r="J82" i="11"/>
  <c r="J86" i="11"/>
  <c r="K11" i="6"/>
  <c r="K17" i="6"/>
  <c r="O86" i="1"/>
  <c r="O85" i="1"/>
  <c r="D30" i="10" l="1"/>
  <c r="U30" i="10"/>
  <c r="K30" i="10"/>
  <c r="Q10" i="10"/>
  <c r="K20" i="10"/>
  <c r="K22" i="10"/>
  <c r="K21" i="10"/>
  <c r="Q20" i="10"/>
  <c r="H26" i="10"/>
  <c r="G26" i="10"/>
  <c r="G25" i="10"/>
  <c r="Q32" i="10"/>
  <c r="Q21" i="10"/>
  <c r="Q25" i="10"/>
  <c r="K33" i="10"/>
  <c r="K32" i="10"/>
  <c r="G32" i="10"/>
  <c r="Q33" i="10"/>
  <c r="P33" i="10"/>
  <c r="G12" i="10"/>
  <c r="M37" i="10"/>
  <c r="M31" i="10"/>
  <c r="H30" i="10"/>
  <c r="O37" i="10"/>
  <c r="H37" i="10"/>
  <c r="M36" i="10"/>
  <c r="M30" i="10"/>
  <c r="O30" i="10"/>
  <c r="O36" i="10"/>
  <c r="H35" i="10"/>
  <c r="O35" i="10"/>
  <c r="H34" i="10"/>
  <c r="M35" i="10"/>
  <c r="C32" i="10"/>
  <c r="M32" i="10"/>
  <c r="O34" i="10"/>
  <c r="H33" i="10"/>
  <c r="O31" i="10"/>
  <c r="O33" i="10"/>
  <c r="H32" i="10"/>
  <c r="M33" i="10"/>
  <c r="O32" i="10"/>
  <c r="H31" i="10"/>
  <c r="K31" i="10"/>
  <c r="S35" i="10"/>
  <c r="S33" i="10"/>
  <c r="S31" i="10"/>
  <c r="S37" i="10"/>
  <c r="S30" i="10"/>
  <c r="S36" i="10"/>
  <c r="S34" i="10"/>
  <c r="S32" i="10"/>
  <c r="P32" i="10"/>
  <c r="P31" i="10"/>
  <c r="Q31" i="10"/>
  <c r="Q37" i="10"/>
  <c r="Q35" i="10"/>
  <c r="P37" i="10"/>
  <c r="P34" i="10"/>
  <c r="P30" i="10"/>
  <c r="P35" i="10"/>
  <c r="Q30" i="10"/>
  <c r="Q34" i="10"/>
  <c r="E37" i="10"/>
  <c r="E35" i="10"/>
  <c r="N37" i="10"/>
  <c r="C35" i="10"/>
  <c r="E34" i="10"/>
  <c r="C30" i="10"/>
  <c r="E30" i="10"/>
  <c r="N34" i="10"/>
  <c r="E33" i="10"/>
  <c r="K36" i="10"/>
  <c r="N32" i="10"/>
  <c r="E32" i="10"/>
  <c r="K35" i="10"/>
  <c r="E31" i="10"/>
  <c r="K34" i="10"/>
  <c r="N36" i="10"/>
  <c r="C31" i="10"/>
  <c r="N35" i="10"/>
  <c r="K37" i="10"/>
  <c r="H36" i="10"/>
  <c r="I36" i="10" s="1"/>
  <c r="N33" i="10"/>
  <c r="M34" i="10"/>
  <c r="C16" i="10"/>
  <c r="G34" i="10"/>
  <c r="R37" i="10"/>
  <c r="G33" i="10"/>
  <c r="R35" i="10"/>
  <c r="R33" i="10"/>
  <c r="R31" i="10"/>
  <c r="G31" i="10"/>
  <c r="R30" i="10"/>
  <c r="G30" i="10"/>
  <c r="R36" i="10"/>
  <c r="R34" i="10"/>
  <c r="R32" i="10"/>
  <c r="G35" i="10"/>
  <c r="G20" i="10"/>
  <c r="C36" i="10"/>
  <c r="G37" i="10"/>
  <c r="C37" i="10"/>
  <c r="L37" i="10"/>
  <c r="C33" i="10"/>
  <c r="L36" i="10"/>
  <c r="L35" i="10"/>
  <c r="L34" i="10"/>
  <c r="C34" i="10"/>
  <c r="P36" i="10"/>
  <c r="Q36" i="10"/>
  <c r="R22" i="10"/>
  <c r="U20" i="10"/>
  <c r="R21" i="10"/>
  <c r="R25" i="10"/>
  <c r="R27" i="10"/>
  <c r="R24" i="10"/>
  <c r="R26" i="10"/>
  <c r="R23" i="10"/>
  <c r="R20" i="10"/>
  <c r="D46" i="10"/>
  <c r="S21" i="10"/>
  <c r="S13" i="10"/>
  <c r="G10" i="10"/>
  <c r="S22" i="10"/>
  <c r="S10" i="10"/>
  <c r="S14" i="10"/>
  <c r="G21" i="10"/>
  <c r="S23" i="10"/>
  <c r="G22" i="10"/>
  <c r="S24" i="10"/>
  <c r="S11" i="10"/>
  <c r="S15" i="10"/>
  <c r="G14" i="10"/>
  <c r="G23" i="10"/>
  <c r="S25" i="10"/>
  <c r="G24" i="10"/>
  <c r="S26" i="10"/>
  <c r="S12" i="10"/>
  <c r="S16" i="10"/>
  <c r="S27" i="10"/>
  <c r="G27" i="10"/>
  <c r="S20" i="10"/>
  <c r="O13" i="10"/>
  <c r="C15" i="10"/>
  <c r="I44" i="10"/>
  <c r="C44" i="10"/>
  <c r="H44" i="10"/>
  <c r="C46" i="10"/>
  <c r="G44" i="10"/>
  <c r="N44" i="10"/>
  <c r="F44" i="10"/>
  <c r="H46" i="10"/>
  <c r="F46" i="10"/>
  <c r="D44" i="10"/>
  <c r="M44" i="10"/>
  <c r="E44" i="10"/>
  <c r="G46" i="10"/>
  <c r="N46" i="10"/>
  <c r="I46" i="10"/>
  <c r="L44" i="10"/>
  <c r="K44" i="10"/>
  <c r="M46" i="10"/>
  <c r="E46" i="10"/>
  <c r="K46" i="10"/>
  <c r="J46" i="10"/>
  <c r="J44" i="10"/>
  <c r="L46" i="10"/>
  <c r="H24" i="10"/>
  <c r="H23" i="10"/>
  <c r="H22" i="10"/>
  <c r="H21" i="10"/>
  <c r="H20" i="10"/>
  <c r="H27" i="10"/>
  <c r="H25" i="10"/>
  <c r="C24" i="10"/>
  <c r="C14" i="10"/>
  <c r="H10" i="10"/>
  <c r="R12" i="10"/>
  <c r="D20" i="10"/>
  <c r="C20" i="10"/>
  <c r="U10" i="10"/>
  <c r="C22" i="10"/>
  <c r="H16" i="10"/>
  <c r="H15" i="10"/>
  <c r="Q22" i="10"/>
  <c r="F17" i="10"/>
  <c r="C12" i="10"/>
  <c r="E17" i="10"/>
  <c r="C27" i="10"/>
  <c r="H11" i="10"/>
  <c r="R17" i="10"/>
  <c r="L23" i="10"/>
  <c r="M24" i="10"/>
  <c r="N26" i="10"/>
  <c r="O25" i="10"/>
  <c r="P23" i="10"/>
  <c r="Q23" i="10"/>
  <c r="G17" i="10"/>
  <c r="L24" i="10"/>
  <c r="M25" i="10"/>
  <c r="N27" i="10"/>
  <c r="O26" i="10"/>
  <c r="P24" i="10"/>
  <c r="Q24" i="10"/>
  <c r="E27" i="10"/>
  <c r="L25" i="10"/>
  <c r="M26" i="10"/>
  <c r="N20" i="10"/>
  <c r="O27" i="10"/>
  <c r="P25" i="10"/>
  <c r="F27" i="10"/>
  <c r="L26" i="10"/>
  <c r="M27" i="10"/>
  <c r="O20" i="10"/>
  <c r="O21" i="10"/>
  <c r="P26" i="10"/>
  <c r="Q26" i="10"/>
  <c r="H12" i="10"/>
  <c r="L27" i="10"/>
  <c r="N22" i="10"/>
  <c r="N21" i="10"/>
  <c r="P17" i="10"/>
  <c r="P27" i="10"/>
  <c r="Q27" i="10"/>
  <c r="M21" i="10"/>
  <c r="N23" i="10"/>
  <c r="O22" i="10"/>
  <c r="P20" i="10"/>
  <c r="Q17" i="10"/>
  <c r="L21" i="10"/>
  <c r="M22" i="10"/>
  <c r="N24" i="10"/>
  <c r="O23" i="10"/>
  <c r="P21" i="10"/>
  <c r="L22" i="10"/>
  <c r="M23" i="10"/>
  <c r="N25" i="10"/>
  <c r="O24" i="10"/>
  <c r="P22" i="10"/>
  <c r="H13" i="10"/>
  <c r="H14" i="10"/>
  <c r="H17" i="10"/>
  <c r="E21" i="10"/>
  <c r="F21" i="10"/>
  <c r="E22" i="10"/>
  <c r="F22" i="10"/>
  <c r="E23" i="10"/>
  <c r="F23" i="10"/>
  <c r="E24" i="10"/>
  <c r="F24" i="10"/>
  <c r="E25" i="10"/>
  <c r="F25" i="10"/>
  <c r="F11" i="10"/>
  <c r="F12" i="10"/>
  <c r="F13" i="10"/>
  <c r="F14" i="10"/>
  <c r="F15" i="10"/>
  <c r="C13" i="10"/>
  <c r="L12" i="10"/>
  <c r="O15" i="10"/>
  <c r="R15" i="10"/>
  <c r="R10" i="10"/>
  <c r="R13" i="10"/>
  <c r="O11" i="10"/>
  <c r="R11" i="10"/>
  <c r="R14" i="10"/>
  <c r="O16" i="10"/>
  <c r="L20" i="10"/>
  <c r="L11" i="10"/>
  <c r="O12" i="10"/>
  <c r="L13" i="10"/>
  <c r="G13" i="10"/>
  <c r="L14" i="10"/>
  <c r="O14" i="10"/>
  <c r="F10" i="10"/>
  <c r="F20" i="10"/>
  <c r="AC11" i="11"/>
  <c r="C23" i="10"/>
  <c r="L10" i="10"/>
  <c r="O10" i="10"/>
  <c r="L15" i="10"/>
  <c r="L16" i="10"/>
  <c r="R16" i="10"/>
  <c r="K23" i="10"/>
  <c r="E11" i="10"/>
  <c r="K24" i="10"/>
  <c r="E12" i="10"/>
  <c r="K25" i="10"/>
  <c r="E13" i="10"/>
  <c r="E26" i="10"/>
  <c r="K26" i="10"/>
  <c r="E14" i="10"/>
  <c r="K27" i="10"/>
  <c r="E15" i="10"/>
  <c r="G11" i="10"/>
  <c r="E16" i="10"/>
  <c r="O17" i="10"/>
  <c r="N17" i="10"/>
  <c r="T17" i="10"/>
  <c r="P16" i="10"/>
  <c r="S17" i="10"/>
  <c r="Q11" i="10"/>
  <c r="P12" i="10"/>
  <c r="P11" i="10"/>
  <c r="Q12" i="10"/>
  <c r="Q13" i="10"/>
  <c r="Q14" i="10"/>
  <c r="P13" i="10"/>
  <c r="Q15" i="10"/>
  <c r="P14" i="10"/>
  <c r="Q16" i="10"/>
  <c r="P15" i="10"/>
  <c r="C10" i="10"/>
  <c r="C17" i="10"/>
  <c r="P10" i="10"/>
  <c r="L17" i="10"/>
  <c r="M20" i="10"/>
  <c r="E20" i="10"/>
  <c r="M14" i="10"/>
  <c r="M12" i="10"/>
  <c r="E10" i="10"/>
  <c r="K13" i="10"/>
  <c r="M15" i="10"/>
  <c r="K16" i="10"/>
  <c r="C11" i="10"/>
  <c r="K11" i="10"/>
  <c r="M13" i="10"/>
  <c r="K14" i="10"/>
  <c r="M16" i="10"/>
  <c r="M10" i="10"/>
  <c r="M11" i="10"/>
  <c r="K17" i="10"/>
  <c r="K12" i="10"/>
  <c r="K10" i="10"/>
  <c r="K15" i="10"/>
  <c r="M17" i="10"/>
  <c r="C25" i="10"/>
  <c r="C26" i="10"/>
  <c r="G15" i="10"/>
  <c r="G16" i="10"/>
  <c r="C21" i="10"/>
  <c r="AC5" i="11"/>
  <c r="AD5" i="11"/>
  <c r="Z21" i="1"/>
  <c r="Z20" i="1"/>
  <c r="Z19" i="1"/>
  <c r="Q21" i="4"/>
  <c r="Q20" i="4"/>
  <c r="Q19" i="4"/>
  <c r="O53" i="1"/>
  <c r="AB41" i="1"/>
  <c r="AB40" i="1"/>
  <c r="O84" i="1"/>
  <c r="O83" i="1"/>
  <c r="O81" i="1"/>
  <c r="O80" i="1"/>
  <c r="O82" i="1"/>
  <c r="O79" i="1"/>
  <c r="O73" i="1"/>
  <c r="O71" i="1"/>
  <c r="O70" i="1"/>
  <c r="O72" i="1"/>
  <c r="O69" i="1"/>
  <c r="O56" i="1"/>
  <c r="O55" i="1"/>
  <c r="O54" i="1"/>
  <c r="O52" i="1"/>
  <c r="O51" i="1"/>
  <c r="O50" i="1"/>
  <c r="O49" i="1"/>
  <c r="O48" i="1"/>
  <c r="O47" i="1"/>
  <c r="O46" i="1"/>
  <c r="O45" i="1"/>
  <c r="O44" i="1"/>
  <c r="O43" i="1"/>
  <c r="O42" i="1"/>
  <c r="O41" i="1"/>
  <c r="O22" i="1"/>
  <c r="O21" i="1"/>
  <c r="O20" i="1"/>
  <c r="O19" i="1"/>
  <c r="O16" i="1"/>
  <c r="O18" i="1"/>
  <c r="O17" i="1"/>
  <c r="O15" i="1"/>
  <c r="O14" i="1"/>
  <c r="O13" i="1"/>
  <c r="O11" i="1"/>
  <c r="O78" i="1"/>
  <c r="O77" i="1"/>
  <c r="O76" i="1"/>
  <c r="O75" i="1"/>
  <c r="O74" i="1"/>
  <c r="O68" i="1"/>
  <c r="O67" i="1"/>
  <c r="O66" i="1"/>
  <c r="O65" i="1"/>
  <c r="O64" i="1"/>
  <c r="O63" i="1"/>
  <c r="O62" i="1"/>
  <c r="O61" i="1"/>
  <c r="O60" i="1"/>
  <c r="O59" i="1"/>
  <c r="O58" i="1"/>
  <c r="O57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12" i="1"/>
  <c r="O10" i="1"/>
  <c r="O9" i="1"/>
  <c r="O8" i="1"/>
  <c r="O7" i="1"/>
  <c r="AB30" i="1"/>
  <c r="V19" i="1"/>
  <c r="V17" i="1"/>
  <c r="S22" i="1"/>
  <c r="V22" i="1" s="1"/>
  <c r="H15" i="1"/>
  <c r="S15" i="1" s="1"/>
  <c r="T15" i="1" s="1"/>
  <c r="V14" i="1"/>
  <c r="V13" i="1"/>
  <c r="T9" i="1"/>
  <c r="V9" i="1" s="1"/>
  <c r="H9" i="1"/>
  <c r="S9" i="1" s="1"/>
  <c r="V12" i="1"/>
  <c r="V16" i="1"/>
  <c r="V8" i="1"/>
  <c r="T7" i="1"/>
  <c r="V7" i="1" s="1"/>
  <c r="U8" i="1"/>
  <c r="U10" i="1"/>
  <c r="U11" i="1"/>
  <c r="U12" i="1"/>
  <c r="U14" i="1"/>
  <c r="U16" i="1"/>
  <c r="U19" i="1"/>
  <c r="K28" i="4"/>
  <c r="K27" i="4"/>
  <c r="K25" i="4"/>
  <c r="K24" i="4"/>
  <c r="K23" i="4"/>
  <c r="K22" i="4"/>
  <c r="K21" i="4"/>
  <c r="J20" i="4"/>
  <c r="K20" i="4" s="1"/>
  <c r="K19" i="4"/>
  <c r="K18" i="4"/>
  <c r="K11" i="4"/>
  <c r="K10" i="4"/>
  <c r="K9" i="4"/>
  <c r="K8" i="4"/>
  <c r="J7" i="4"/>
  <c r="F66" i="6"/>
  <c r="AA14" i="1"/>
  <c r="AC14" i="1" s="1"/>
  <c r="Z11" i="1"/>
  <c r="I12" i="10" l="1"/>
  <c r="I26" i="10"/>
  <c r="J32" i="10"/>
  <c r="I35" i="10"/>
  <c r="D34" i="10"/>
  <c r="I32" i="10"/>
  <c r="I31" i="10"/>
  <c r="J30" i="10"/>
  <c r="I34" i="10"/>
  <c r="D33" i="10"/>
  <c r="J31" i="10"/>
  <c r="D35" i="10"/>
  <c r="J35" i="10"/>
  <c r="D16" i="10"/>
  <c r="I37" i="10"/>
  <c r="D37" i="10"/>
  <c r="J37" i="10"/>
  <c r="J36" i="10"/>
  <c r="D36" i="10"/>
  <c r="D32" i="10"/>
  <c r="J33" i="10"/>
  <c r="I33" i="10"/>
  <c r="D31" i="10"/>
  <c r="V30" i="10"/>
  <c r="I30" i="10"/>
  <c r="J34" i="10"/>
  <c r="I24" i="10"/>
  <c r="I14" i="10"/>
  <c r="V20" i="10"/>
  <c r="D15" i="10"/>
  <c r="I10" i="10"/>
  <c r="V10" i="10"/>
  <c r="I20" i="10"/>
  <c r="I27" i="10"/>
  <c r="I21" i="10"/>
  <c r="I23" i="10"/>
  <c r="I22" i="10"/>
  <c r="I25" i="10"/>
  <c r="I15" i="10"/>
  <c r="D12" i="10"/>
  <c r="I16" i="10"/>
  <c r="D14" i="10"/>
  <c r="I11" i="10"/>
  <c r="I13" i="10"/>
  <c r="I17" i="10"/>
  <c r="D10" i="10"/>
  <c r="D13" i="10"/>
  <c r="D27" i="10"/>
  <c r="D11" i="10"/>
  <c r="D17" i="10"/>
  <c r="J10" i="10"/>
  <c r="J20" i="10"/>
  <c r="V15" i="1"/>
  <c r="U15" i="1"/>
  <c r="J27" i="10" l="1"/>
  <c r="R12" i="5"/>
  <c r="E12" i="5"/>
  <c r="E11" i="5"/>
  <c r="E10" i="5"/>
  <c r="L12" i="5"/>
  <c r="R14" i="5" s="1"/>
  <c r="K12" i="5"/>
  <c r="Q14" i="5" s="1"/>
  <c r="J12" i="5"/>
  <c r="P14" i="5" s="1"/>
  <c r="I12" i="5"/>
  <c r="O14" i="5" s="1"/>
  <c r="E7" i="5" l="1"/>
  <c r="H50" i="1"/>
  <c r="S7" i="1"/>
  <c r="H8" i="1"/>
  <c r="U7" i="1" l="1"/>
  <c r="F8" i="5"/>
  <c r="E9" i="5"/>
  <c r="AB14" i="1" l="1"/>
  <c r="Z13" i="1"/>
  <c r="AC13" i="1" s="1"/>
  <c r="Z12" i="1"/>
  <c r="AC12" i="1" s="1"/>
  <c r="AC10" i="1"/>
  <c r="O1048574" i="1"/>
  <c r="N27" i="5"/>
  <c r="N25" i="5"/>
  <c r="M27" i="5"/>
  <c r="M25" i="5"/>
  <c r="L25" i="5"/>
  <c r="L27" i="5"/>
  <c r="K27" i="5"/>
  <c r="K25" i="5"/>
  <c r="J27" i="5"/>
  <c r="J25" i="5"/>
  <c r="U21" i="5" l="1"/>
  <c r="S21" i="5"/>
  <c r="R21" i="5"/>
  <c r="Q21" i="5"/>
  <c r="L7" i="5"/>
  <c r="R13" i="4"/>
  <c r="U13" i="4"/>
  <c r="O8" i="5"/>
  <c r="N8" i="5"/>
  <c r="M8" i="5"/>
  <c r="L8" i="5"/>
  <c r="K8" i="5"/>
  <c r="J8" i="5"/>
  <c r="I8" i="5"/>
  <c r="T7" i="5"/>
  <c r="S7" i="5"/>
  <c r="R7" i="5"/>
  <c r="Q7" i="5"/>
  <c r="P7" i="5"/>
  <c r="O7" i="5"/>
  <c r="N7" i="5"/>
  <c r="M7" i="5"/>
  <c r="K7" i="5"/>
  <c r="J7" i="5"/>
  <c r="I7" i="5"/>
  <c r="R36" i="4"/>
  <c r="R37" i="4"/>
  <c r="R17" i="4"/>
  <c r="R14" i="4"/>
  <c r="U16" i="4"/>
  <c r="U14" i="4"/>
  <c r="K11" i="5" l="1"/>
  <c r="Q12" i="5" s="1"/>
  <c r="I11" i="5"/>
  <c r="J11" i="5"/>
  <c r="P12" i="5" s="1"/>
  <c r="Q8" i="5"/>
  <c r="P8" i="5"/>
  <c r="S8" i="5"/>
  <c r="U7" i="5"/>
  <c r="V14" i="4"/>
  <c r="V13" i="4"/>
  <c r="D7" i="5" l="1"/>
  <c r="O12" i="5"/>
  <c r="R8" i="5"/>
  <c r="AC11" i="1" l="1"/>
  <c r="T8" i="5" l="1"/>
  <c r="U8" i="5" s="1"/>
  <c r="J14" i="10"/>
  <c r="J13" i="10"/>
  <c r="J17" i="10"/>
  <c r="J12" i="10"/>
  <c r="J16" i="10"/>
  <c r="J15" i="10"/>
  <c r="J11" i="10"/>
  <c r="D21" i="10"/>
  <c r="J21" i="10"/>
  <c r="J25" i="10"/>
  <c r="J22" i="10"/>
  <c r="D25" i="10"/>
  <c r="D22" i="10"/>
  <c r="D24" i="10"/>
  <c r="J24" i="10"/>
  <c r="D26" i="10"/>
  <c r="J26" i="10"/>
  <c r="D23" i="10"/>
  <c r="J23" i="10"/>
</calcChain>
</file>

<file path=xl/sharedStrings.xml><?xml version="1.0" encoding="utf-8"?>
<sst xmlns="http://schemas.openxmlformats.org/spreadsheetml/2006/main" count="3660" uniqueCount="817">
  <si>
    <t>Análise de mercado e identificação de targets e segmentos alvo</t>
  </si>
  <si>
    <r>
      <rPr>
        <b/>
        <sz val="36"/>
        <color rgb="FFFFFFFF"/>
        <rFont val="Helvetica Neue"/>
        <family val="2"/>
      </rPr>
      <t>NEW BUSINESS</t>
    </r>
    <r>
      <rPr>
        <sz val="36"/>
        <color rgb="FFFFFFFF"/>
        <rFont val="Helvetica Neue"/>
        <family val="2"/>
      </rPr>
      <t xml:space="preserve"> </t>
    </r>
    <r>
      <rPr>
        <sz val="36"/>
        <color rgb="FFFF4E00"/>
        <rFont val="Helvetica Neue"/>
        <family val="2"/>
      </rPr>
      <t>2023</t>
    </r>
  </si>
  <si>
    <t xml:space="preserve">Cliente </t>
  </si>
  <si>
    <t xml:space="preserve">Scope </t>
  </si>
  <si>
    <t>Tipologia</t>
  </si>
  <si>
    <t xml:space="preserve">Entregável </t>
  </si>
  <si>
    <t xml:space="preserve">Data Início </t>
  </si>
  <si>
    <t>Q</t>
  </si>
  <si>
    <t>Status</t>
  </si>
  <si>
    <t>€</t>
  </si>
  <si>
    <t>Formula</t>
  </si>
  <si>
    <t>Tier</t>
  </si>
  <si>
    <t>Notas</t>
  </si>
  <si>
    <t xml:space="preserve">Equipa </t>
  </si>
  <si>
    <t xml:space="preserve">Status </t>
  </si>
  <si>
    <t>ipologia</t>
  </si>
  <si>
    <t>Entregavel</t>
  </si>
  <si>
    <t>Siva</t>
  </si>
  <si>
    <t xml:space="preserve">Design </t>
  </si>
  <si>
    <t xml:space="preserve">Projeto </t>
  </si>
  <si>
    <t>Criatividade</t>
  </si>
  <si>
    <t>Mar</t>
  </si>
  <si>
    <t>Q1</t>
  </si>
  <si>
    <t>Ganho</t>
  </si>
  <si>
    <t>Mafalda</t>
  </si>
  <si>
    <t>Orçamento</t>
  </si>
  <si>
    <t>Globo</t>
  </si>
  <si>
    <t>Publicidade</t>
  </si>
  <si>
    <t>Fee</t>
  </si>
  <si>
    <t>Jan</t>
  </si>
  <si>
    <t xml:space="preserve">Vânia </t>
  </si>
  <si>
    <t>Perdido</t>
  </si>
  <si>
    <t>Estratégia</t>
  </si>
  <si>
    <t>ISPA</t>
  </si>
  <si>
    <t>Fev</t>
  </si>
  <si>
    <t xml:space="preserve">Francisco </t>
  </si>
  <si>
    <t>TBD</t>
  </si>
  <si>
    <t>Computely</t>
  </si>
  <si>
    <t>N/A</t>
  </si>
  <si>
    <t>Rejeitado</t>
  </si>
  <si>
    <t>Festival Sintra</t>
  </si>
  <si>
    <t>Design + Publicidade</t>
  </si>
  <si>
    <t>Bold Café</t>
  </si>
  <si>
    <t>JMJ</t>
  </si>
  <si>
    <t>Mai</t>
  </si>
  <si>
    <t>Q2</t>
  </si>
  <si>
    <t>Pleez</t>
  </si>
  <si>
    <t>Estrategia</t>
  </si>
  <si>
    <t>Abr</t>
  </si>
  <si>
    <t>NA</t>
  </si>
  <si>
    <t>Aceites</t>
  </si>
  <si>
    <t xml:space="preserve">Ganhos </t>
  </si>
  <si>
    <t>AEDL</t>
  </si>
  <si>
    <t>Rejeitados</t>
  </si>
  <si>
    <t>Perdidos</t>
  </si>
  <si>
    <t>Bling</t>
  </si>
  <si>
    <t xml:space="preserve">Digital </t>
  </si>
  <si>
    <t>Endesa (Registo feito, mas entrou EDP)</t>
  </si>
  <si>
    <t>HLC</t>
  </si>
  <si>
    <t>Jun</t>
  </si>
  <si>
    <t>Total</t>
  </si>
  <si>
    <t>Dona</t>
  </si>
  <si>
    <t>Agroges</t>
  </si>
  <si>
    <t>T1</t>
  </si>
  <si>
    <t>Regina</t>
  </si>
  <si>
    <t>T2</t>
  </si>
  <si>
    <t xml:space="preserve"> </t>
  </si>
  <si>
    <t>EDP Comercial</t>
  </si>
  <si>
    <t>Jul</t>
  </si>
  <si>
    <t>Q3</t>
  </si>
  <si>
    <t>T3</t>
  </si>
  <si>
    <t>CTT - Pai Natal Solidário</t>
  </si>
  <si>
    <t>Holmes Place</t>
  </si>
  <si>
    <t>Set</t>
  </si>
  <si>
    <t>Ohficina</t>
  </si>
  <si>
    <t>Ago</t>
  </si>
  <si>
    <t>Crest</t>
  </si>
  <si>
    <t>Digital</t>
  </si>
  <si>
    <t>Microsoft Videocast</t>
  </si>
  <si>
    <t>Younergy</t>
  </si>
  <si>
    <t>Hey Doc</t>
  </si>
  <si>
    <t>Out</t>
  </si>
  <si>
    <t>Q4</t>
  </si>
  <si>
    <t>Unilever/Comfort</t>
  </si>
  <si>
    <t>ERA</t>
  </si>
  <si>
    <t>TV Cine</t>
  </si>
  <si>
    <t>Donettes</t>
  </si>
  <si>
    <t>Social Media</t>
  </si>
  <si>
    <t>Go Chill</t>
  </si>
  <si>
    <t>Norfin/Verde Parque</t>
  </si>
  <si>
    <t>Prémio Melhores Fundos</t>
  </si>
  <si>
    <t xml:space="preserve">TOTAL </t>
  </si>
  <si>
    <t>Incus Capital</t>
  </si>
  <si>
    <t>Atenor (WellBe)</t>
  </si>
  <si>
    <t>Boutique Hotel no Douro</t>
  </si>
  <si>
    <t>Prio</t>
  </si>
  <si>
    <t>Go Porto</t>
  </si>
  <si>
    <t>Transportes de Aveito</t>
  </si>
  <si>
    <t>Valadas Coriel</t>
  </si>
  <si>
    <t>Worx &amp; Cushman - brochura/Site</t>
  </si>
  <si>
    <t xml:space="preserve">Celfocus </t>
  </si>
  <si>
    <t>Lusiadas Digital</t>
  </si>
  <si>
    <t>Galp Interna</t>
  </si>
  <si>
    <t>Biggs</t>
  </si>
  <si>
    <t>Bondstone-Belas</t>
  </si>
  <si>
    <t>Glintt</t>
  </si>
  <si>
    <t>Sattar Property</t>
  </si>
  <si>
    <t>SIVA - produção banners (inconclusivo)</t>
  </si>
  <si>
    <t>Sem feedback.</t>
  </si>
  <si>
    <t>UIP Hospitality</t>
  </si>
  <si>
    <t>Hotjar</t>
  </si>
  <si>
    <t>Maleo</t>
  </si>
  <si>
    <t>Worten - videos internos</t>
  </si>
  <si>
    <t>Uphill</t>
  </si>
  <si>
    <t>Sublimecare</t>
  </si>
  <si>
    <t>Fisioglobal</t>
  </si>
  <si>
    <t>Autoindustrial</t>
  </si>
  <si>
    <t>Riberalves</t>
  </si>
  <si>
    <t>Telepizza</t>
  </si>
  <si>
    <t>Mosano</t>
  </si>
  <si>
    <t>Alcazar Energy</t>
  </si>
  <si>
    <t>Alecrim</t>
  </si>
  <si>
    <t>PLMJ</t>
  </si>
  <si>
    <t>BP</t>
  </si>
  <si>
    <t xml:space="preserve">Social Media </t>
  </si>
  <si>
    <t xml:space="preserve">Perdido </t>
  </si>
  <si>
    <t>DGE</t>
  </si>
  <si>
    <t>Madeira</t>
  </si>
  <si>
    <t>COTEC</t>
  </si>
  <si>
    <t>Just Sushi</t>
  </si>
  <si>
    <t>Carlsberg</t>
  </si>
  <si>
    <t>Canal Hollywood</t>
  </si>
  <si>
    <t>Remax</t>
  </si>
  <si>
    <r>
      <rPr>
        <b/>
        <sz val="36"/>
        <color rgb="FFFFFFFF"/>
        <rFont val="Helvetica Neue"/>
        <family val="2"/>
      </rPr>
      <t>NEW BUSINESS</t>
    </r>
    <r>
      <rPr>
        <sz val="36"/>
        <color rgb="FFFFFFFF"/>
        <rFont val="Helvetica Neue"/>
        <family val="2"/>
      </rPr>
      <t xml:space="preserve"> </t>
    </r>
    <r>
      <rPr>
        <sz val="36"/>
        <color rgb="FFFF4E00"/>
        <rFont val="Helvetica Neue"/>
        <family val="2"/>
      </rPr>
      <t>2024</t>
    </r>
  </si>
  <si>
    <t>Informações</t>
  </si>
  <si>
    <t>Critérios</t>
  </si>
  <si>
    <t xml:space="preserve">Data  </t>
  </si>
  <si>
    <t>Rep</t>
  </si>
  <si>
    <t>Ret</t>
  </si>
  <si>
    <t>Rent</t>
  </si>
  <si>
    <t>NF</t>
  </si>
  <si>
    <t>Pontuação</t>
  </si>
  <si>
    <t>Observações</t>
  </si>
  <si>
    <t>Faturado</t>
  </si>
  <si>
    <t>MB</t>
  </si>
  <si>
    <t>MB (%)</t>
  </si>
  <si>
    <t>Cabriz</t>
  </si>
  <si>
    <t xml:space="preserve">Ganho </t>
  </si>
  <si>
    <t>Details</t>
  </si>
  <si>
    <t>Social Media + Web</t>
  </si>
  <si>
    <t xml:space="preserve">Fast Fiber </t>
  </si>
  <si>
    <t>Web + Social Media + Design</t>
  </si>
  <si>
    <t>Cumpre</t>
  </si>
  <si>
    <t>N Cumpre</t>
  </si>
  <si>
    <t>Energético</t>
  </si>
  <si>
    <t>Contacto do Duarte</t>
  </si>
  <si>
    <t xml:space="preserve">Ganhamos </t>
  </si>
  <si>
    <t>Atual Cliente Nossa</t>
  </si>
  <si>
    <t xml:space="preserve">Perdidos </t>
  </si>
  <si>
    <t>Bloomwell</t>
  </si>
  <si>
    <t xml:space="preserve">TBD </t>
  </si>
  <si>
    <t>Revolut</t>
  </si>
  <si>
    <t>Time Out Market</t>
  </si>
  <si>
    <t>Antigo Cliente</t>
  </si>
  <si>
    <t>Vizta</t>
  </si>
  <si>
    <t>Design</t>
  </si>
  <si>
    <t>Fundação Aboim Sande Lemos</t>
  </si>
  <si>
    <t>Design+Digital</t>
  </si>
  <si>
    <t>Lebull</t>
  </si>
  <si>
    <t>Colgate</t>
  </si>
  <si>
    <t>Surfers Cove</t>
  </si>
  <si>
    <t>Area de interesse Surf</t>
  </si>
  <si>
    <t>Disney</t>
  </si>
  <si>
    <t>SCML</t>
  </si>
  <si>
    <t>Entregue. Apresentação dia 28/10</t>
  </si>
  <si>
    <t>Allianz</t>
  </si>
  <si>
    <t xml:space="preserve">Locarent </t>
  </si>
  <si>
    <t>Sem resposta</t>
  </si>
  <si>
    <t>EasySlim Farmodiética</t>
  </si>
  <si>
    <t>EMRP</t>
  </si>
  <si>
    <t>Social Media + ChLICK</t>
  </si>
  <si>
    <t>Nov</t>
  </si>
  <si>
    <t>Concurso Público, perdemos por preço (estávamos 5k acima)</t>
  </si>
  <si>
    <t>Vinhos Verdes (CVRVV)</t>
  </si>
  <si>
    <t>Perdemos para outros</t>
  </si>
  <si>
    <t>UIP (3 Marcas)</t>
  </si>
  <si>
    <t>TDA Rental (3 Marcas)</t>
  </si>
  <si>
    <t>Hovione</t>
  </si>
  <si>
    <t>Não recebemos resposta</t>
  </si>
  <si>
    <t>Superdecor</t>
  </si>
  <si>
    <t xml:space="preserve">Não cumpriam </t>
  </si>
  <si>
    <t>FLOW</t>
  </si>
  <si>
    <t>Cliente de Holmes Place</t>
  </si>
  <si>
    <t>DLA Piper</t>
  </si>
  <si>
    <t>NOVA</t>
  </si>
  <si>
    <t>Digital+Chlick</t>
  </si>
  <si>
    <t xml:space="preserve">Valores+ experiência </t>
  </si>
  <si>
    <t>BIAL</t>
  </si>
  <si>
    <t>Orçamento muito elevado</t>
  </si>
  <si>
    <t>Fundação o Século</t>
  </si>
  <si>
    <t>Design + Web</t>
  </si>
  <si>
    <t>Aguarda aprovação de Proposta Financeira</t>
  </si>
  <si>
    <t>Fusão Intergaup RMS</t>
  </si>
  <si>
    <t>Sem Resposta</t>
  </si>
  <si>
    <t>Absorvit</t>
  </si>
  <si>
    <t>Gostaram do que apresentámos, disseram que retomavam contacto em Janeiro.</t>
  </si>
  <si>
    <t>Carmo Wood</t>
  </si>
  <si>
    <t xml:space="preserve">Motivo por determinar. </t>
  </si>
  <si>
    <t>UIP</t>
  </si>
  <si>
    <t>Design+Redes+Site</t>
  </si>
  <si>
    <t>Advance Care</t>
  </si>
  <si>
    <t xml:space="preserve">Fomos muito valorizados (credenciais + interações) mas preço. </t>
  </si>
  <si>
    <t>Cumpriam com FN</t>
  </si>
  <si>
    <t>Vilamoura Golf</t>
  </si>
  <si>
    <t>Contacto cliente Norfin</t>
  </si>
  <si>
    <t>Perdido para outra agência.</t>
  </si>
  <si>
    <t>Cumpriam na totalidade</t>
  </si>
  <si>
    <t>Electrão</t>
  </si>
  <si>
    <t>Ideia criativa</t>
  </si>
  <si>
    <t>Anpifert</t>
  </si>
  <si>
    <t>Website</t>
  </si>
  <si>
    <t>Contacto de Cliente Agroges</t>
  </si>
  <si>
    <t>Preço. Sendo que o nosso orçamento já foi bastante baixo.</t>
  </si>
  <si>
    <t>Herdade Barrosinha</t>
  </si>
  <si>
    <t>Vale Pisão</t>
  </si>
  <si>
    <t>Mundu Nobu</t>
  </si>
  <si>
    <t>Causa e Amigo do Duarte</t>
  </si>
  <si>
    <t>Westwing</t>
  </si>
  <si>
    <t>Procuravam agência mais focada em PR e Influence Mkt</t>
  </si>
  <si>
    <t>Vigent</t>
  </si>
  <si>
    <t>Penguin Random House</t>
  </si>
  <si>
    <t xml:space="preserve">Não houve orç. </t>
  </si>
  <si>
    <t>Cinemas NOS</t>
  </si>
  <si>
    <t xml:space="preserve">Perdemos por criatividade. Ganho pela Fuel </t>
  </si>
  <si>
    <t>WWF</t>
  </si>
  <si>
    <t xml:space="preserve">Possivelmente avança em 2026... </t>
  </si>
  <si>
    <t>NOVA NIMSB</t>
  </si>
  <si>
    <t>Antigo Cliente NOVA</t>
  </si>
  <si>
    <t xml:space="preserve">Perdemos por valor. </t>
  </si>
  <si>
    <t>LusoViriato Funerárias</t>
  </si>
  <si>
    <t xml:space="preserve">Design + Estratégia </t>
  </si>
  <si>
    <t>Contacto de Cliente Surfers Cove</t>
  </si>
  <si>
    <t>Casal Garcia</t>
  </si>
  <si>
    <t>Cliente não ficou satisfeita com a nossa campanha em 2 rondas</t>
  </si>
  <si>
    <t>Garrafeira Soares</t>
  </si>
  <si>
    <t>Não seguiram com nenhuma agência (€€€)</t>
  </si>
  <si>
    <t>Olá</t>
  </si>
  <si>
    <t>Lynxmind</t>
  </si>
  <si>
    <t>Não faz fit</t>
  </si>
  <si>
    <t>321 Crédito</t>
  </si>
  <si>
    <t xml:space="preserve">Segafredo </t>
  </si>
  <si>
    <t>Rentabilidade / No Budget</t>
  </si>
  <si>
    <t>Alberto Oculista</t>
  </si>
  <si>
    <t>Flata de pontecial criativo e notoriedade</t>
  </si>
  <si>
    <t>Asisa</t>
  </si>
  <si>
    <t xml:space="preserve">Conflito de interesses. </t>
  </si>
  <si>
    <t>Margão</t>
  </si>
  <si>
    <t>Publicidade/Digital</t>
  </si>
  <si>
    <t>Nae Vegan Shoes</t>
  </si>
  <si>
    <t xml:space="preserve">    </t>
  </si>
  <si>
    <t>Bairro Digital SP. Sul</t>
  </si>
  <si>
    <t>Volume de Projetos / Retorno</t>
  </si>
  <si>
    <t>Fly Society</t>
  </si>
  <si>
    <t xml:space="preserve">Não houve fit entre cliente e agência. </t>
  </si>
  <si>
    <t>CPME</t>
  </si>
  <si>
    <t>No chemistry / Falta de respostas</t>
  </si>
  <si>
    <t>EGF</t>
  </si>
  <si>
    <t>Social Media + Design</t>
  </si>
  <si>
    <t>Dez</t>
  </si>
  <si>
    <t xml:space="preserve">LVM Holding </t>
  </si>
  <si>
    <t xml:space="preserve">Falta de quimica e antecipação de má relação. </t>
  </si>
  <si>
    <t>PMI Tabaqueira</t>
  </si>
  <si>
    <t>Trade + Eventos</t>
  </si>
  <si>
    <t xml:space="preserve">Timmings apertados, falta de flexibilidade. </t>
  </si>
  <si>
    <t>Bwin</t>
  </si>
  <si>
    <t>Pitch SCML</t>
  </si>
  <si>
    <t>Bar What If It Goes Well</t>
  </si>
  <si>
    <t>Associação para o Planeamento da Família</t>
  </si>
  <si>
    <t>Homy Casa</t>
  </si>
  <si>
    <t>UIP - Talent Shift</t>
  </si>
  <si>
    <t>Design + Social Media + Web</t>
  </si>
  <si>
    <t>Sensei Tech</t>
  </si>
  <si>
    <t>Norfin (CASTILHO 86_88)</t>
  </si>
  <si>
    <t>Design + Social Media + Web + Digital</t>
  </si>
  <si>
    <t xml:space="preserve">StrongHold </t>
  </si>
  <si>
    <t>DNA Cascais</t>
  </si>
  <si>
    <t>cascais</t>
  </si>
  <si>
    <t>Feedback para Dezembro 24</t>
  </si>
  <si>
    <t>JNcQUOI Comporta</t>
  </si>
  <si>
    <t xml:space="preserve">Pro-Atividade </t>
  </si>
  <si>
    <t>Banana da Madeira</t>
  </si>
  <si>
    <t>Taga Urbanic</t>
  </si>
  <si>
    <t xml:space="preserve">Social Media + Design  + Web </t>
  </si>
  <si>
    <t>Samsung</t>
  </si>
  <si>
    <t>Sovena (Fula &amp; Oliveira)</t>
  </si>
  <si>
    <t>Volkswagen Services</t>
  </si>
  <si>
    <t>Design + Digital + Social Media</t>
  </si>
  <si>
    <t>INDAQUA</t>
  </si>
  <si>
    <r>
      <t xml:space="preserve">2023 vs </t>
    </r>
    <r>
      <rPr>
        <b/>
        <sz val="36"/>
        <color rgb="FFFF4E00"/>
        <rFont val="Helvetica Neue"/>
        <family val="2"/>
      </rPr>
      <t>2024</t>
    </r>
  </si>
  <si>
    <t>Var</t>
  </si>
  <si>
    <t>TOTAL</t>
  </si>
  <si>
    <t>Recusados</t>
  </si>
  <si>
    <t xml:space="preserve">Total de Pedidos Recebidos </t>
  </si>
  <si>
    <t xml:space="preserve">Total de Pedidos Aceites </t>
  </si>
  <si>
    <t>%</t>
  </si>
  <si>
    <t xml:space="preserve">Publicidade </t>
  </si>
  <si>
    <t>Taxa de Sucesso por area</t>
  </si>
  <si>
    <t xml:space="preserve">Social </t>
  </si>
  <si>
    <t>Redes</t>
  </si>
  <si>
    <t>Ganhos</t>
  </si>
  <si>
    <t xml:space="preserve">Efiávia por Q </t>
  </si>
  <si>
    <t>Taxa</t>
  </si>
  <si>
    <t>% Ganhos</t>
  </si>
  <si>
    <t xml:space="preserve">Fee vs Projeto </t>
  </si>
  <si>
    <t>Integrado</t>
  </si>
  <si>
    <t>Projeto</t>
  </si>
  <si>
    <t>Cliente</t>
  </si>
  <si>
    <t>Sum of Margem</t>
  </si>
  <si>
    <t>EDP Comercial - Comerc. de Energia, SA</t>
  </si>
  <si>
    <t>Setor</t>
  </si>
  <si>
    <t>AUCHAN RETAIL PORTUGAL, S.A</t>
  </si>
  <si>
    <t>Retalho Direto</t>
  </si>
  <si>
    <t>LUSIADAS</t>
  </si>
  <si>
    <t>Saúde e Bem-Estar</t>
  </si>
  <si>
    <t>Abanca Corporación Bancária, SA</t>
  </si>
  <si>
    <t>€256,765.30</t>
  </si>
  <si>
    <t xml:space="preserve">Food &amp; Beverages  </t>
  </si>
  <si>
    <t>EDP</t>
  </si>
  <si>
    <t>Energia</t>
  </si>
  <si>
    <t>SIVA, S.A</t>
  </si>
  <si>
    <t>€200,527.55</t>
  </si>
  <si>
    <t>Telecomunicações</t>
  </si>
  <si>
    <t>SANTA CASA</t>
  </si>
  <si>
    <t>Lusíadas Dental, S.A.</t>
  </si>
  <si>
    <t>€168,806.00</t>
  </si>
  <si>
    <t>Banca e Seguradoras</t>
  </si>
  <si>
    <t>DIA &amp; AUCHAN</t>
  </si>
  <si>
    <t>Santa Casa da Misericórdia de Lisboa</t>
  </si>
  <si>
    <t>Indústria Automóvel</t>
  </si>
  <si>
    <t>GLOBO</t>
  </si>
  <si>
    <t xml:space="preserve">Entretenimento e Comunicação </t>
  </si>
  <si>
    <t>Lusíadas A.C.E.</t>
  </si>
  <si>
    <t>Educação e Cultura</t>
  </si>
  <si>
    <t>SIVA</t>
  </si>
  <si>
    <t xml:space="preserve">Indústria Automovel </t>
  </si>
  <si>
    <t>Super Bock Bebidas, S.A.</t>
  </si>
  <si>
    <t>Tecnologia</t>
  </si>
  <si>
    <t>ABANCA</t>
  </si>
  <si>
    <t>Globo Portugal Unipessoal, Lda</t>
  </si>
  <si>
    <t>Turismo e Hotelaria</t>
  </si>
  <si>
    <t xml:space="preserve">Trasnportes e Logistica </t>
  </si>
  <si>
    <t>The Walt Disney Company Portugal TFI, Unipessoal Ld</t>
  </si>
  <si>
    <t>€93,138.31</t>
  </si>
  <si>
    <t>Construção e Imobiliário</t>
  </si>
  <si>
    <t>DISNEY</t>
  </si>
  <si>
    <t>Entretenimento e Comunicação</t>
  </si>
  <si>
    <t>FastFiber - Infraestruturas de Comunicações, S.A</t>
  </si>
  <si>
    <t>€75,254.84</t>
  </si>
  <si>
    <t>UNICER</t>
  </si>
  <si>
    <t>Food &amp; Beverages</t>
  </si>
  <si>
    <t>Rádio Renascença, SA</t>
  </si>
  <si>
    <t>€72,878.88</t>
  </si>
  <si>
    <t>TIME OUT</t>
  </si>
  <si>
    <t>EG Interactive Ltd</t>
  </si>
  <si>
    <t>€62,695.92</t>
  </si>
  <si>
    <t>NAOS</t>
  </si>
  <si>
    <t>NOS Lusomundo Audiovisuais S.A</t>
  </si>
  <si>
    <t>€39,505.75</t>
  </si>
  <si>
    <t>Apostas e Casinos</t>
  </si>
  <si>
    <t>RENASCENÇA</t>
  </si>
  <si>
    <t>GlobalWines S.A.</t>
  </si>
  <si>
    <t>€39,182.79</t>
  </si>
  <si>
    <t>Farmacêuticas e Cosmética</t>
  </si>
  <si>
    <t>GLOBALWINES</t>
  </si>
  <si>
    <t>Details Hotels &amp; Resorts</t>
  </si>
  <si>
    <t>€39,006.08</t>
  </si>
  <si>
    <t>Transportes e Logistica </t>
  </si>
  <si>
    <t>HP ACTIVE</t>
  </si>
  <si>
    <t>Unilever FIMA Lda</t>
  </si>
  <si>
    <t>€34,637.89</t>
  </si>
  <si>
    <t>MSFT</t>
  </si>
  <si>
    <t>Surfers Cove, Lda</t>
  </si>
  <si>
    <t>€33,860.75</t>
  </si>
  <si>
    <t>DETAILS HOTELS</t>
  </si>
  <si>
    <t>Imperial - Produtos Alimentares, S.A.</t>
  </si>
  <si>
    <t>€33,004.89</t>
  </si>
  <si>
    <t>NOS</t>
  </si>
  <si>
    <t>Msft Software Para Microcomputadores Lda</t>
  </si>
  <si>
    <t>€32,667.05</t>
  </si>
  <si>
    <t>SURFERS COVE</t>
  </si>
  <si>
    <t>DIA PORTUGAL SUPERMERCADOS SOCIEDADE UNIPESSOAL, Ld</t>
  </si>
  <si>
    <t>€32,231.62</t>
  </si>
  <si>
    <t>YOUNERGY</t>
  </si>
  <si>
    <t>Companhia de Seguros Allianz Portugal</t>
  </si>
  <si>
    <t>€28,417.85</t>
  </si>
  <si>
    <t>IMPERIAL</t>
  </si>
  <si>
    <t>Bloomwell Behavioral Health</t>
  </si>
  <si>
    <t>€26,986.63</t>
  </si>
  <si>
    <t>HYDRA PROPERTIES LARANJEIRAS</t>
  </si>
  <si>
    <t>Ass. de Promoção da Região Autónoma da Madeira</t>
  </si>
  <si>
    <t>€24,557.87</t>
  </si>
  <si>
    <t>UNICRE</t>
  </si>
  <si>
    <t>Hydra Properties Laranjeiras, Lda</t>
  </si>
  <si>
    <t>€22,630.11</t>
  </si>
  <si>
    <t>ANP</t>
  </si>
  <si>
    <t>NAOS Portugal Unipessoal Limitada</t>
  </si>
  <si>
    <t>€21,465.69</t>
  </si>
  <si>
    <t>NABEIRO</t>
  </si>
  <si>
    <t>Youngersy Solar (Usijga) SA</t>
  </si>
  <si>
    <t>€16,418.00</t>
  </si>
  <si>
    <t>BLOOMWELL</t>
  </si>
  <si>
    <t>HP Aztec Portugal, Lda</t>
  </si>
  <si>
    <t>€16,203.05</t>
  </si>
  <si>
    <t>APMADEIRA</t>
  </si>
  <si>
    <t>Dia Verde Portugal, S.A.</t>
  </si>
  <si>
    <t>€12,931.09</t>
  </si>
  <si>
    <t>MODELO CONTINENTE</t>
  </si>
  <si>
    <t>Fundação Albino Sande Lemos</t>
  </si>
  <si>
    <t>€12,107.60</t>
  </si>
  <si>
    <t>SOC FRANCISCO MANUEL DOS SANTOS</t>
  </si>
  <si>
    <t>SPA</t>
  </si>
  <si>
    <t>Assoc. para a inclusão e a Justiça de Solidari</t>
  </si>
  <si>
    <t>€11,097.45</t>
  </si>
  <si>
    <t>FANTASTIC BOX</t>
  </si>
  <si>
    <t>Unicre - Instituição Financeira de Crédito S.A.</t>
  </si>
  <si>
    <t>€9,642.78</t>
  </si>
  <si>
    <t>SUN NOW</t>
  </si>
  <si>
    <t>ANP - Associação da Natureza Portugal</t>
  </si>
  <si>
    <t>€8,709.40</t>
  </si>
  <si>
    <t>LUIS VICENTE</t>
  </si>
  <si>
    <t>MC - Mercado das Carnes, S.A.</t>
  </si>
  <si>
    <t>€6,271.03</t>
  </si>
  <si>
    <t>AGROGES</t>
  </si>
  <si>
    <t>Câmara Municipal de Sintra</t>
  </si>
  <si>
    <t>€3,912.75</t>
  </si>
  <si>
    <t>CASCAIS DINAMICA</t>
  </si>
  <si>
    <t>Banco BIC Português, S.A.</t>
  </si>
  <si>
    <t>€3,615.77</t>
  </si>
  <si>
    <t>NOSSA</t>
  </si>
  <si>
    <t>AON Solutions Portugal</t>
  </si>
  <si>
    <t>€2,868.01</t>
  </si>
  <si>
    <t>AVELEDA</t>
  </si>
  <si>
    <t>Plural Editores Angola Sociedade de Projetos, Lda</t>
  </si>
  <si>
    <t>€2,738.63</t>
  </si>
  <si>
    <t>CMSINTRA</t>
  </si>
  <si>
    <t>MODELO CONTINENTE HERMERODOS, S.A</t>
  </si>
  <si>
    <t>€2,593.06</t>
  </si>
  <si>
    <t>CTT</t>
  </si>
  <si>
    <t>SICREDI - Sociedade Portuguesa de Autores</t>
  </si>
  <si>
    <t>€1,604.29</t>
  </si>
  <si>
    <t>VIA VERDE</t>
  </si>
  <si>
    <t>Aurora Pires Consultores SA</t>
  </si>
  <si>
    <t>€1,241.50</t>
  </si>
  <si>
    <t>FUNDACAO ABOIM SANDE LEMOS</t>
  </si>
  <si>
    <t>Digify International Lda</t>
  </si>
  <si>
    <t>€1,051.63</t>
  </si>
  <si>
    <t>CEREALIS</t>
  </si>
  <si>
    <t>ADEL - Auto Estradas Do Douro Litoral, S.A</t>
  </si>
  <si>
    <t>€1,000.00</t>
  </si>
  <si>
    <t>QUAKE</t>
  </si>
  <si>
    <t>BLING ENERGY Lda</t>
  </si>
  <si>
    <t>€940.05</t>
  </si>
  <si>
    <t>HERTZ</t>
  </si>
  <si>
    <t>OUSIA</t>
  </si>
  <si>
    <t>Rural Azul Riachinhas Nabeiro, Lda</t>
  </si>
  <si>
    <t>€600.00</t>
  </si>
  <si>
    <t>GALP GÁS - FLOENE</t>
  </si>
  <si>
    <t>DREAMIA</t>
  </si>
  <si>
    <t>JOAQUIM CHAVES</t>
  </si>
  <si>
    <t>GULBENKIAN</t>
  </si>
  <si>
    <t>LUSOMONTADITO</t>
  </si>
  <si>
    <t>RECORD TOGETHER</t>
  </si>
  <si>
    <t>NARIZ VERMELHO</t>
  </si>
  <si>
    <t>GOLDENERGY</t>
  </si>
  <si>
    <t>IMPROVE FLAVOURS</t>
  </si>
  <si>
    <t>YUNKAI</t>
  </si>
  <si>
    <t>PRIME SCHOOL</t>
  </si>
  <si>
    <t>WINTERFELL</t>
  </si>
  <si>
    <t>AQUATICODE</t>
  </si>
  <si>
    <t>FPGOLFE</t>
  </si>
  <si>
    <t>ASSOC. OURIVESARIA</t>
  </si>
  <si>
    <t>FUNDAÇÃO JML</t>
  </si>
  <si>
    <t>TEMPOMEDIA</t>
  </si>
  <si>
    <t>CREST CAPITAL</t>
  </si>
  <si>
    <t>J.MARTINS &amp; UNILEVER</t>
  </si>
  <si>
    <t>OHFICINA</t>
  </si>
  <si>
    <t>DONA BUILDINGS</t>
  </si>
  <si>
    <t>HUMAN TO HUMAN</t>
  </si>
  <si>
    <t>LPM COMUNIC</t>
  </si>
  <si>
    <t>ENERGÉTICO</t>
  </si>
  <si>
    <t>Scope</t>
  </si>
  <si>
    <t>Faturação</t>
  </si>
  <si>
    <t>Detalhes</t>
  </si>
  <si>
    <t>P</t>
  </si>
  <si>
    <t>E</t>
  </si>
  <si>
    <t>SM</t>
  </si>
  <si>
    <t>Di</t>
  </si>
  <si>
    <t>De</t>
  </si>
  <si>
    <t>Count</t>
  </si>
  <si>
    <t>Data (I)</t>
  </si>
  <si>
    <t>Mês</t>
  </si>
  <si>
    <t>Ano</t>
  </si>
  <si>
    <t>Data (F)</t>
  </si>
  <si>
    <t>X</t>
  </si>
  <si>
    <t>Painel de Fomatação</t>
  </si>
  <si>
    <t>Tipo</t>
  </si>
  <si>
    <t xml:space="preserve">Credenciais </t>
  </si>
  <si>
    <t xml:space="preserve">Orçamento </t>
  </si>
  <si>
    <t>Apostas e Casino</t>
  </si>
  <si>
    <t xml:space="preserve">Estratégia </t>
  </si>
  <si>
    <t>Bebidas</t>
  </si>
  <si>
    <t>Entretenimento</t>
  </si>
  <si>
    <t xml:space="preserve">Turismo </t>
  </si>
  <si>
    <t>Details - Norfin</t>
  </si>
  <si>
    <t>Hotelaria</t>
  </si>
  <si>
    <t xml:space="preserve">SCML Inst. </t>
  </si>
  <si>
    <t xml:space="preserve">Público </t>
  </si>
  <si>
    <t>Seguradoras</t>
  </si>
  <si>
    <t>JSC</t>
  </si>
  <si>
    <t xml:space="preserve">Banca </t>
  </si>
  <si>
    <t>Food</t>
  </si>
  <si>
    <t>Cultura</t>
  </si>
  <si>
    <t>Transportes</t>
  </si>
  <si>
    <t xml:space="preserve">Saúde </t>
  </si>
  <si>
    <t>Absorvit Farmodiética</t>
  </si>
  <si>
    <t>Educação</t>
  </si>
  <si>
    <t>Norfin - CASTILHO 86_88</t>
  </si>
  <si>
    <t>Imobiliário</t>
  </si>
  <si>
    <t xml:space="preserve">Granvinhos  </t>
  </si>
  <si>
    <t xml:space="preserve">Conceito </t>
  </si>
  <si>
    <t xml:space="preserve">Auchan </t>
  </si>
  <si>
    <t>SMM</t>
  </si>
  <si>
    <t>Demasiada Prod Externa</t>
  </si>
  <si>
    <t>Agência Portuguesa Ambiente</t>
  </si>
  <si>
    <t xml:space="preserve">Campanha </t>
  </si>
  <si>
    <t xml:space="preserve">Parceria: Nova Expressão e Comcorp </t>
  </si>
  <si>
    <t xml:space="preserve">Joao Portugal Ramos </t>
  </si>
  <si>
    <t>Conceito Comms</t>
  </si>
  <si>
    <t xml:space="preserve">NEYA Hotels </t>
  </si>
  <si>
    <t>-</t>
  </si>
  <si>
    <t xml:space="preserve">Pastelaria Mexicana </t>
  </si>
  <si>
    <t xml:space="preserve">Rebranding </t>
  </si>
  <si>
    <t xml:space="preserve">Marca Histórica </t>
  </si>
  <si>
    <t>Camping Ericeira</t>
  </si>
  <si>
    <t xml:space="preserve">Vanguard - White Shell </t>
  </si>
  <si>
    <t>Brochura</t>
  </si>
  <si>
    <t>Antigo Cliente/Lider</t>
  </si>
  <si>
    <t>Tribeca - SIC</t>
  </si>
  <si>
    <t>Comms 360</t>
  </si>
  <si>
    <t xml:space="preserve">Não avançaram com agência. </t>
  </si>
  <si>
    <t>WOCK</t>
  </si>
  <si>
    <t>Conceito Criativo</t>
  </si>
  <si>
    <t>Ana Aeroportos</t>
  </si>
  <si>
    <t xml:space="preserve">Relatório Sust. </t>
  </si>
  <si>
    <t>ABC CoLAB</t>
  </si>
  <si>
    <t xml:space="preserve">Consultoria  </t>
  </si>
  <si>
    <t>AdegaMãe</t>
  </si>
  <si>
    <t xml:space="preserve">Bebidas </t>
  </si>
  <si>
    <t>Comm Dig + Media</t>
  </si>
  <si>
    <t>Dono de Riberalves</t>
  </si>
  <si>
    <t>NaturHouse</t>
  </si>
  <si>
    <t>Bem-Estar</t>
  </si>
  <si>
    <t>AutreArquitetos BR</t>
  </si>
  <si>
    <t>Branding + Comms</t>
  </si>
  <si>
    <t>Las Muns</t>
  </si>
  <si>
    <t xml:space="preserve">Nicola </t>
  </si>
  <si>
    <t xml:space="preserve">Miguel Zarco Palma </t>
  </si>
  <si>
    <t>Van Zeller Wine Collection</t>
  </si>
  <si>
    <t>TBC</t>
  </si>
  <si>
    <t>Falta de Respostas</t>
  </si>
  <si>
    <t xml:space="preserve">Arrow - Norfin </t>
  </si>
  <si>
    <t>Branding</t>
  </si>
  <si>
    <t>Ganhou a Born</t>
  </si>
  <si>
    <t>Oramix</t>
  </si>
  <si>
    <t>SAAS</t>
  </si>
  <si>
    <t xml:space="preserve">Go Global Travel </t>
  </si>
  <si>
    <t xml:space="preserve">Web Design </t>
  </si>
  <si>
    <t>Internacional</t>
  </si>
  <si>
    <t>Portway</t>
  </si>
  <si>
    <t>Logistica</t>
  </si>
  <si>
    <t>Campanha e Evento</t>
  </si>
  <si>
    <t xml:space="preserve">GS1 Portugal </t>
  </si>
  <si>
    <t>Conteúdos Digitais</t>
  </si>
  <si>
    <t>Tecnopack</t>
  </si>
  <si>
    <t>Pack Case Studies</t>
  </si>
  <si>
    <t>Tarkett</t>
  </si>
  <si>
    <t>Rangel</t>
  </si>
  <si>
    <t>Video Institucional</t>
  </si>
  <si>
    <t>Ficou par a Mossa Film Labs</t>
  </si>
  <si>
    <t>TopNew Portugal</t>
  </si>
  <si>
    <t>Mkt Digital</t>
  </si>
  <si>
    <t>PrimaPrix</t>
  </si>
  <si>
    <t xml:space="preserve">Alecrim Real Estate </t>
  </si>
  <si>
    <t>Judas. Experiência Comporta</t>
  </si>
  <si>
    <t>Anivite - Gimcat</t>
  </si>
  <si>
    <t>Campanha YT</t>
  </si>
  <si>
    <t xml:space="preserve">Jardim Zoológico Lisboa </t>
  </si>
  <si>
    <t xml:space="preserve">Cultura </t>
  </si>
  <si>
    <t>Madeira - Produto Cultura</t>
  </si>
  <si>
    <t>Campanha e Web</t>
  </si>
  <si>
    <t>CleanUp</t>
  </si>
  <si>
    <t xml:space="preserve">Casa Saúde Guimarães </t>
  </si>
  <si>
    <t>Present Techonolgies</t>
  </si>
  <si>
    <t>Branding + Web</t>
  </si>
  <si>
    <t>PowerShield</t>
  </si>
  <si>
    <t>Segurança</t>
  </si>
  <si>
    <t xml:space="preserve">Symington </t>
  </si>
  <si>
    <t xml:space="preserve">Observador </t>
  </si>
  <si>
    <t>Copy</t>
  </si>
  <si>
    <t xml:space="preserve">Griffus /Parafina Bronze </t>
  </si>
  <si>
    <t>Cosmética</t>
  </si>
  <si>
    <t>Sociedade Ponto Verde</t>
  </si>
  <si>
    <t>Fuel/Havas</t>
  </si>
  <si>
    <t>Queijos Tété</t>
  </si>
  <si>
    <t xml:space="preserve">Natixis in Portugal </t>
  </si>
  <si>
    <t>Estratégia Comms</t>
  </si>
  <si>
    <t xml:space="preserve">Rialto </t>
  </si>
  <si>
    <t>Foods</t>
  </si>
  <si>
    <t>Video Produto</t>
  </si>
  <si>
    <t>Cimar</t>
  </si>
  <si>
    <t xml:space="preserve">Design de Vinil </t>
  </si>
  <si>
    <t>Caxamar</t>
  </si>
  <si>
    <t>Filme TV</t>
  </si>
  <si>
    <t>Portfolio Store</t>
  </si>
  <si>
    <t>Campanhas</t>
  </si>
  <si>
    <t>Baketilly</t>
  </si>
  <si>
    <t>Consultoria</t>
  </si>
  <si>
    <t xml:space="preserve">Agência </t>
  </si>
  <si>
    <t>ReuseGlass</t>
  </si>
  <si>
    <t xml:space="preserve">Interger </t>
  </si>
  <si>
    <t>RP &amp; Comm</t>
  </si>
  <si>
    <t>Associação Promoção Madeira</t>
  </si>
  <si>
    <t xml:space="preserve">Campanha SM </t>
  </si>
  <si>
    <t>Brisa</t>
  </si>
  <si>
    <t>Prod Filmes</t>
  </si>
  <si>
    <t>Cmms Interna</t>
  </si>
  <si>
    <t>Crédito Agricola</t>
  </si>
  <si>
    <t>Conflito Interesses</t>
  </si>
  <si>
    <t>S317</t>
  </si>
  <si>
    <t>CP</t>
  </si>
  <si>
    <t>Fundação Sardinha</t>
  </si>
  <si>
    <t>APB</t>
  </si>
  <si>
    <t>Falata de Tempo</t>
  </si>
  <si>
    <t>f</t>
  </si>
  <si>
    <r>
      <rPr>
        <sz val="35"/>
        <color theme="1"/>
        <rFont val="NHaasGroteskDSPro-35XLt"/>
      </rPr>
      <t>New Business</t>
    </r>
    <r>
      <rPr>
        <sz val="35"/>
        <color rgb="FFFC4E02"/>
        <rFont val="NHaasGroteskDSPro-35XLt"/>
      </rPr>
      <t xml:space="preserve"> Backend </t>
    </r>
  </si>
  <si>
    <t>Pendentes</t>
  </si>
  <si>
    <t>Tx Sucesso</t>
  </si>
  <si>
    <t>Tx Rejeição</t>
  </si>
  <si>
    <t xml:space="preserve">Cumpre </t>
  </si>
  <si>
    <t>N/Cumpre</t>
  </si>
  <si>
    <t>&gt;120K</t>
  </si>
  <si>
    <t>120K-40k</t>
  </si>
  <si>
    <t>&lt;40K</t>
  </si>
  <si>
    <t>Orçamentado</t>
  </si>
  <si>
    <t>Media Orç</t>
  </si>
  <si>
    <t>NOSSA™</t>
  </si>
  <si>
    <t xml:space="preserve">Integrados </t>
  </si>
  <si>
    <t>MAR</t>
  </si>
  <si>
    <t>ABR</t>
  </si>
  <si>
    <t>MAI</t>
  </si>
  <si>
    <t>JUN</t>
  </si>
  <si>
    <t>AGO</t>
  </si>
  <si>
    <t>SET</t>
  </si>
  <si>
    <t>OUT</t>
  </si>
  <si>
    <t>NOV</t>
  </si>
  <si>
    <t>DEZ</t>
  </si>
  <si>
    <r>
      <rPr>
        <sz val="35"/>
        <color theme="1"/>
        <rFont val="NHaasGroteskDSPro-35XLt"/>
      </rPr>
      <t>New Business</t>
    </r>
    <r>
      <rPr>
        <sz val="35"/>
        <color rgb="FFFC4E02"/>
        <rFont val="NHaasGroteskDSPro-35XLt"/>
      </rPr>
      <t xml:space="preserve"> Dashboard </t>
    </r>
  </si>
  <si>
    <t>Atualizado a: 13/01/2025</t>
  </si>
  <si>
    <t>Makro</t>
  </si>
  <si>
    <t>Farmácia Sofárida</t>
  </si>
  <si>
    <t>AB Biotics</t>
  </si>
  <si>
    <t>Media Markt</t>
  </si>
  <si>
    <t>Monte da Penha</t>
  </si>
  <si>
    <t>Vinhos</t>
  </si>
  <si>
    <t>Publicis -9K€</t>
  </si>
  <si>
    <t>Movijovem</t>
  </si>
  <si>
    <t>Ilustração</t>
  </si>
  <si>
    <t>Alma54</t>
  </si>
  <si>
    <t xml:space="preserve">CJR Renewables </t>
  </si>
  <si>
    <t xml:space="preserve">Comms </t>
  </si>
  <si>
    <t>sem resposta</t>
  </si>
  <si>
    <t>EMAC</t>
  </si>
  <si>
    <t>Ativação</t>
  </si>
  <si>
    <t>Carris</t>
  </si>
  <si>
    <t>Pagani Capital</t>
  </si>
  <si>
    <t>AD</t>
  </si>
  <si>
    <t>Politica</t>
  </si>
  <si>
    <t>Metropolitano de Lisboa</t>
  </si>
  <si>
    <t>Grupo ACA</t>
  </si>
  <si>
    <t>Design de Peças</t>
  </si>
  <si>
    <t xml:space="preserve">Angelini Pharma </t>
  </si>
  <si>
    <t>Farmaceutica</t>
  </si>
  <si>
    <t xml:space="preserve">Fundação Gulbenkian </t>
  </si>
  <si>
    <t>Filme</t>
  </si>
  <si>
    <t xml:space="preserve">Arrow Global </t>
  </si>
  <si>
    <t>Savills</t>
  </si>
  <si>
    <t xml:space="preserve">Adaptação de Int. </t>
  </si>
  <si>
    <t>Mecanismo Nacional Anticorrupção</t>
  </si>
  <si>
    <t>ANACOM</t>
  </si>
  <si>
    <t>Ministério da Educação e Ciência</t>
  </si>
  <si>
    <t xml:space="preserve">ASUS </t>
  </si>
  <si>
    <t xml:space="preserve">O Boticário </t>
  </si>
  <si>
    <t>Personal Care</t>
  </si>
  <si>
    <t>Metacase</t>
  </si>
  <si>
    <t>LIDL</t>
  </si>
  <si>
    <t xml:space="preserve">Arrow - Palmares </t>
  </si>
  <si>
    <t>Arrow - Vilamoura Golf</t>
  </si>
  <si>
    <t>Fundação Semapa</t>
  </si>
  <si>
    <t>Financeiro</t>
  </si>
  <si>
    <t>Comunicação</t>
  </si>
  <si>
    <t xml:space="preserve">Calvé </t>
  </si>
  <si>
    <t>Lamares &amp; Capela Assosciados</t>
  </si>
  <si>
    <t>Advogados</t>
  </si>
  <si>
    <t>Campanha</t>
  </si>
  <si>
    <t>JLL</t>
  </si>
  <si>
    <t xml:space="preserve">Gestão </t>
  </si>
  <si>
    <t>Comms</t>
  </si>
  <si>
    <t>Via Verde</t>
  </si>
  <si>
    <t xml:space="preserve">Lacatlis Ibéria </t>
  </si>
  <si>
    <t>Main Agency</t>
  </si>
  <si>
    <t xml:space="preserve">JCDecaux </t>
  </si>
  <si>
    <t>Meios</t>
  </si>
  <si>
    <t xml:space="preserve">PR </t>
  </si>
  <si>
    <t xml:space="preserve">Não temos os serviços. </t>
  </si>
  <si>
    <t>DIGI</t>
  </si>
  <si>
    <t xml:space="preserve">Unicef </t>
  </si>
  <si>
    <t>ONG</t>
  </si>
  <si>
    <t>Digital Comms</t>
  </si>
  <si>
    <t>Aldeia das Crianças SOS</t>
  </si>
  <si>
    <t>Pera Rocha do Oeste</t>
  </si>
  <si>
    <t>CR&amp;F</t>
  </si>
  <si>
    <t xml:space="preserve">Camara de Setubal </t>
  </si>
  <si>
    <t>Publico</t>
  </si>
  <si>
    <t>Glint Global</t>
  </si>
  <si>
    <t>IPO Porto</t>
  </si>
  <si>
    <t>Web Maintnence</t>
  </si>
  <si>
    <t xml:space="preserve">Smart Energy Lab </t>
  </si>
  <si>
    <t>FRS</t>
  </si>
  <si>
    <t>Redes Sociais</t>
  </si>
  <si>
    <t>Produção Content</t>
  </si>
  <si>
    <t xml:space="preserve">Startup Portugal </t>
  </si>
  <si>
    <t xml:space="preserve">Empreendorismo </t>
  </si>
  <si>
    <t>UIP - PIC Funds</t>
  </si>
  <si>
    <t>Comms Digitais</t>
  </si>
  <si>
    <t>Pub</t>
  </si>
  <si>
    <t>Des</t>
  </si>
  <si>
    <t>Dig</t>
  </si>
  <si>
    <t>Desporto</t>
  </si>
  <si>
    <t>TERRA Labs</t>
  </si>
  <si>
    <t>General Comms</t>
  </si>
  <si>
    <t>TAP</t>
  </si>
  <si>
    <t xml:space="preserve">Microsoft </t>
  </si>
  <si>
    <t>Branding Int Comms</t>
  </si>
  <si>
    <t xml:space="preserve">Clinica Delille </t>
  </si>
  <si>
    <t>Medicina</t>
  </si>
  <si>
    <t>Urban Park Torres Vedras</t>
  </si>
  <si>
    <t>Branding + SM</t>
  </si>
  <si>
    <t xml:space="preserve">Falta de Buget </t>
  </si>
  <si>
    <t xml:space="preserve">Leasys </t>
  </si>
  <si>
    <t>Social + Ads</t>
  </si>
  <si>
    <t>Madly in Love</t>
  </si>
  <si>
    <t>Eventos</t>
  </si>
  <si>
    <t>Fundação Jeronimo Martins</t>
  </si>
  <si>
    <t>Social</t>
  </si>
  <si>
    <t>Conflito de Interesses</t>
  </si>
  <si>
    <t xml:space="preserve">Continuaram com a McCan </t>
  </si>
  <si>
    <t>Atelier Rebelo de Andrade</t>
  </si>
  <si>
    <t>Arquitetura</t>
  </si>
  <si>
    <t>Residual Studio</t>
  </si>
  <si>
    <t>Design + Prod</t>
  </si>
  <si>
    <t>Macris LDA</t>
  </si>
  <si>
    <t>Not Specified</t>
  </si>
  <si>
    <t>Danone -  YoPRO</t>
  </si>
  <si>
    <t xml:space="preserve">Moviflor </t>
  </si>
  <si>
    <t xml:space="preserve">Humana </t>
  </si>
  <si>
    <t xml:space="preserve">EDP x Pingo Doce </t>
  </si>
  <si>
    <t>Ativações</t>
  </si>
  <si>
    <t>Philip Morris International</t>
  </si>
  <si>
    <t>Mixprice</t>
  </si>
  <si>
    <t>Lactalis Iberia</t>
  </si>
  <si>
    <t xml:space="preserve">Girl Move Academy </t>
  </si>
  <si>
    <t>CTESI</t>
  </si>
  <si>
    <t xml:space="preserve">Pollux </t>
  </si>
  <si>
    <t>MO</t>
  </si>
  <si>
    <t>Webseries</t>
  </si>
  <si>
    <t xml:space="preserve">F.DUARTE </t>
  </si>
  <si>
    <t>Indústria Alimentar</t>
  </si>
  <si>
    <t>Grupo EDP</t>
  </si>
  <si>
    <t>Content Digital</t>
  </si>
  <si>
    <t>NORFIN</t>
  </si>
  <si>
    <t>10k Fee Criativa</t>
  </si>
  <si>
    <t>Sock Affairs</t>
  </si>
  <si>
    <t>Ayvens</t>
  </si>
  <si>
    <t>AR Integrative Clinic</t>
  </si>
  <si>
    <t>SM e Perfomance</t>
  </si>
  <si>
    <t xml:space="preserve">Agroges </t>
  </si>
  <si>
    <t>Institucional</t>
  </si>
  <si>
    <t>SM + Web</t>
  </si>
  <si>
    <t>Raiz / Vitamina P</t>
  </si>
  <si>
    <t>Ensino</t>
  </si>
  <si>
    <t>El Corte Inglês</t>
  </si>
  <si>
    <t>Opticalia RIR</t>
  </si>
  <si>
    <t xml:space="preserve">Produção </t>
  </si>
  <si>
    <t>SFMS</t>
  </si>
  <si>
    <t>6k para campanha??</t>
  </si>
  <si>
    <t>500€ Fee de Rejeição</t>
  </si>
  <si>
    <t xml:space="preserve">Fábrica dos Óculos </t>
  </si>
  <si>
    <t xml:space="preserve">Nestúm </t>
  </si>
  <si>
    <t>Grupo 8</t>
  </si>
  <si>
    <t>ZPOS</t>
  </si>
  <si>
    <t>Software</t>
  </si>
  <si>
    <t>Social + Web</t>
  </si>
  <si>
    <t>Oasis Atlantico</t>
  </si>
  <si>
    <t>Prop Vence. .10k</t>
  </si>
  <si>
    <t>FunnyHow (30k)</t>
  </si>
  <si>
    <t xml:space="preserve">MT Consulting </t>
  </si>
  <si>
    <t>GPA Advogados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</si>
</sst>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&quot;€&quot;_);[Red]\(#,##0.00\ &quot;€&quot;\)"/>
    <numFmt numFmtId="165" formatCode="_ * #,##0.00_)\ &quot;€&quot;_ ;_ * \(#,##0.00\)\ &quot;€&quot;_ ;_ * &quot;-&quot;??_)\ &quot;€&quot;_ ;_ @_ "/>
    <numFmt numFmtId="166" formatCode="[$-816]mmm/yy;@"/>
    <numFmt numFmtId="167" formatCode="0.0%"/>
    <numFmt numFmtId="168" formatCode="_ * #,##0_)\ &quot;€&quot;_ ;_ * \(#,##0\)\ &quot;€&quot;_ ;_ * &quot;-&quot;??_)\ &quot;€&quot;_ ;_ @_ "/>
  </numFmts>
  <fonts count="64">
    <font>
      <sz val="12"/>
      <color theme="1"/>
      <name val="Aptos Narrow"/>
      <scheme val="minor"/>
    </font>
    <font>
      <sz val="12"/>
      <color theme="1"/>
      <name val="Aptos Narrow"/>
    </font>
    <font>
      <sz val="36"/>
      <color theme="0"/>
      <name val="Helvetica Neue"/>
      <family val="2"/>
    </font>
    <font>
      <sz val="16"/>
      <color theme="0"/>
      <name val="NHaasGroteskDSPro-35XLt"/>
    </font>
    <font>
      <sz val="16"/>
      <color rgb="FFFFFFFF"/>
      <name val="Arial"/>
      <family val="2"/>
    </font>
    <font>
      <sz val="16"/>
      <color theme="1"/>
      <name val="Arial"/>
      <family val="2"/>
    </font>
    <font>
      <sz val="11"/>
      <color theme="1"/>
      <name val="NHaasGroteskDSPro-35XLt"/>
    </font>
    <font>
      <sz val="12"/>
      <color theme="1"/>
      <name val="NHaasGroteskDSPro-35XL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NHaasGroteskDSPro-35XLt"/>
    </font>
    <font>
      <b/>
      <sz val="36"/>
      <color rgb="FFFFFFFF"/>
      <name val="Helvetica Neue"/>
      <family val="2"/>
    </font>
    <font>
      <sz val="36"/>
      <color rgb="FFFFFFFF"/>
      <name val="Helvetica Neue"/>
      <family val="2"/>
    </font>
    <font>
      <sz val="36"/>
      <color rgb="FFFF4E00"/>
      <name val="Helvetica Neue"/>
      <family val="2"/>
    </font>
    <font>
      <sz val="12"/>
      <color theme="1"/>
      <name val="Aptos Narrow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b/>
      <sz val="36"/>
      <color rgb="FFFF4E00"/>
      <name val="Helvetica Neue"/>
      <family val="2"/>
    </font>
    <font>
      <b/>
      <sz val="16"/>
      <color theme="0"/>
      <name val="NHaasGroteskDSPro-75Bd"/>
    </font>
    <font>
      <sz val="14"/>
      <color theme="1"/>
      <name val="NHaasGroteskDSPro-35XLt"/>
    </font>
    <font>
      <sz val="8"/>
      <name val="Aptos Narrow"/>
      <scheme val="minor"/>
    </font>
    <font>
      <b/>
      <sz val="16"/>
      <color theme="1"/>
      <name val="NHaasGroteskDSPro-35XLt"/>
    </font>
    <font>
      <sz val="16"/>
      <color theme="1"/>
      <name val="NHaasGroteskDSPro-65Md"/>
    </font>
    <font>
      <sz val="12"/>
      <color rgb="FF9C5700"/>
      <name val="Aptos Narrow"/>
      <family val="2"/>
      <scheme val="minor"/>
    </font>
    <font>
      <sz val="12"/>
      <color theme="0"/>
      <name val="Aptos Narrow"/>
      <scheme val="minor"/>
    </font>
    <font>
      <sz val="12"/>
      <color theme="0"/>
      <name val="NHaasGroteskDSPro-35XLt"/>
    </font>
    <font>
      <sz val="14"/>
      <color theme="1"/>
      <name val="Aptos Narrow"/>
    </font>
    <font>
      <sz val="14"/>
      <color theme="0"/>
      <name val="NHaasGroteskDSPro-35XLt"/>
    </font>
    <font>
      <sz val="14"/>
      <color rgb="FFFFFFFF"/>
      <name val="Arial"/>
      <family val="2"/>
    </font>
    <font>
      <sz val="14"/>
      <color rgb="FFFF4E00"/>
      <name val="NHaasGroteskDSPro-35XLt"/>
    </font>
    <font>
      <sz val="14"/>
      <color theme="1"/>
      <name val="Aptos Narrow"/>
      <scheme val="minor"/>
    </font>
    <font>
      <sz val="12"/>
      <color theme="1"/>
      <name val="NHaasGroteskDSPro-55Rg"/>
    </font>
    <font>
      <sz val="10"/>
      <color theme="1"/>
      <name val="NHaasGroteskDSPro-55Rg"/>
    </font>
    <font>
      <sz val="14"/>
      <color theme="1"/>
      <name val="NHaasGroteskDSPro-55Rg"/>
    </font>
    <font>
      <sz val="14"/>
      <color rgb="FF006100"/>
      <name val="NHaasGroteskDSPro-55Rg"/>
    </font>
    <font>
      <sz val="14"/>
      <color rgb="FF9C0006"/>
      <name val="NHaasGroteskDSPro-55Rg"/>
    </font>
    <font>
      <sz val="14"/>
      <color rgb="FF9C5700"/>
      <name val="NHaasGroteskDSPro-55Rg"/>
    </font>
    <font>
      <sz val="14"/>
      <color rgb="FF000000"/>
      <name val="NHaasGroteskDSPro-55Rg"/>
    </font>
    <font>
      <sz val="14"/>
      <color rgb="FF006100"/>
      <name val="Aptos Narrow"/>
      <family val="2"/>
      <scheme val="minor"/>
    </font>
    <font>
      <b/>
      <sz val="12"/>
      <color theme="1"/>
      <name val="Aptos Narrow"/>
      <scheme val="minor"/>
    </font>
    <font>
      <sz val="10"/>
      <color indexed="8"/>
      <name val="Calibri"/>
      <family val="2"/>
    </font>
    <font>
      <sz val="9"/>
      <name val="Aptos Narrow"/>
      <family val="2"/>
      <scheme val="minor"/>
    </font>
    <font>
      <sz val="10"/>
      <color indexed="8"/>
      <name val="Arial"/>
      <family val="2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4"/>
      <color rgb="FF000000"/>
      <name val="Neue Haas Grotesk Display Pro"/>
    </font>
    <font>
      <sz val="14"/>
      <color rgb="FF9C0006"/>
      <name val="Aptos Narrow"/>
      <family val="2"/>
      <scheme val="minor"/>
    </font>
    <font>
      <sz val="14"/>
      <color rgb="FF9C5700"/>
      <name val="Aptos Narrow"/>
      <family val="2"/>
      <scheme val="minor"/>
    </font>
    <font>
      <sz val="9"/>
      <color theme="1"/>
      <name val="Arial"/>
      <family val="2"/>
    </font>
    <font>
      <sz val="12"/>
      <color theme="0" tint="-0.249977111117893"/>
      <name val="NHaasGroteskDSPro-55Rg"/>
    </font>
    <font>
      <sz val="11"/>
      <color theme="0" tint="-0.249977111117893"/>
      <name val="Arial"/>
      <family val="2"/>
    </font>
    <font>
      <sz val="12"/>
      <color theme="0"/>
      <name val="Aptos Narrow (corpo)"/>
    </font>
    <font>
      <b/>
      <sz val="12"/>
      <color theme="1"/>
      <name val="Aptos Narrow"/>
    </font>
    <font>
      <sz val="12"/>
      <color rgb="FF006100"/>
      <name val="NHaasGroteskDSPro-55Rg"/>
    </font>
    <font>
      <sz val="12"/>
      <color rgb="FF000000"/>
      <name val="NHaasGroteskDSPro-55Rg"/>
    </font>
    <font>
      <sz val="35"/>
      <color rgb="FFFC4E02"/>
      <name val="NHaasGroteskDSPro-35XLt"/>
    </font>
    <font>
      <sz val="35"/>
      <color theme="1"/>
      <name val="NHaasGroteskDSPro-35XLt"/>
    </font>
    <font>
      <sz val="12"/>
      <color rgb="FFC3C4C8"/>
      <name val="Aptos Narrow"/>
      <scheme val="minor"/>
    </font>
    <font>
      <b/>
      <sz val="14"/>
      <color theme="1"/>
      <name val="NHaasGroteskDSPro-55Rg"/>
    </font>
    <font>
      <sz val="11"/>
      <color theme="1"/>
      <name val="NHaasGroteskDSPro-55Rg"/>
    </font>
    <font>
      <sz val="14"/>
      <color theme="1"/>
      <name val="NHaasGroteskDSPro-75Bd"/>
    </font>
    <font>
      <sz val="37"/>
      <color theme="1"/>
      <name val="NHaasGroteskDSPro-35XLt"/>
    </font>
    <font>
      <sz val="14"/>
      <color theme="0"/>
      <name val="NHaasGroteskDSPro-55Rg"/>
    </font>
  </fonts>
  <fills count="2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4E00"/>
        <bgColor rgb="FFFF4E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1"/>
        <bgColor indexed="64"/>
      </patternFill>
    </fill>
    <fill>
      <patternFill patternType="solid">
        <fgColor rgb="FFFF4E00"/>
        <bgColor theme="1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B9C"/>
      </patternFill>
    </fill>
    <fill>
      <patternFill patternType="solid">
        <fgColor rgb="FFC6EFCE"/>
        <bgColor rgb="FF000000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EB9C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E3E4E7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C4E0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3E4E7"/>
        <bgColor rgb="FF000000"/>
      </patternFill>
    </fill>
    <fill>
      <patternFill patternType="solid">
        <fgColor rgb="FFC3C4C8"/>
        <bgColor indexed="64"/>
      </patternFill>
    </fill>
    <fill>
      <patternFill patternType="solid">
        <fgColor rgb="FFFFC7CE"/>
        <bgColor rgb="FF000000"/>
      </patternFill>
    </fill>
  </fills>
  <borders count="3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medium">
        <color rgb="FFFF4E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FF4E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4E00"/>
      </bottom>
      <diagonal/>
    </border>
    <border>
      <left style="thin">
        <color rgb="FF000000"/>
      </left>
      <right style="thin">
        <color rgb="FF000000"/>
      </right>
      <top/>
      <bottom style="medium">
        <color rgb="FFFF4E00"/>
      </bottom>
      <diagonal/>
    </border>
    <border>
      <left/>
      <right style="thin">
        <color rgb="FF000000"/>
      </right>
      <top style="thin">
        <color rgb="FF000000"/>
      </top>
      <bottom style="medium">
        <color rgb="FFFF4E00"/>
      </bottom>
      <diagonal/>
    </border>
    <border>
      <left/>
      <right/>
      <top/>
      <bottom style="medium">
        <color rgb="FFFF4E00"/>
      </bottom>
      <diagonal/>
    </border>
    <border>
      <left style="thin">
        <color indexed="64"/>
      </left>
      <right style="thin">
        <color indexed="64"/>
      </right>
      <top/>
      <bottom style="medium">
        <color rgb="FFFF4E00"/>
      </bottom>
      <diagonal/>
    </border>
  </borders>
  <cellStyleXfs count="7">
    <xf numFmtId="0" fontId="0" fillId="0" borderId="0"/>
    <xf numFmtId="9" fontId="15" fillId="0" borderId="0" applyFont="0" applyFill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24" fillId="11" borderId="0" applyNumberFormat="0" applyBorder="0" applyAlignment="0" applyProtection="0"/>
    <xf numFmtId="165" fontId="15" fillId="0" borderId="0" applyFont="0" applyFill="0" applyBorder="0" applyAlignment="0" applyProtection="0"/>
    <xf numFmtId="0" fontId="43" fillId="0" borderId="1">
      <alignment vertical="top"/>
    </xf>
  </cellStyleXfs>
  <cellXfs count="333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 applyAlignment="1">
      <alignment vertical="center"/>
    </xf>
    <xf numFmtId="0" fontId="1" fillId="0" borderId="0" xfId="0" applyFont="1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10" fontId="1" fillId="0" borderId="0" xfId="0" applyNumberFormat="1" applyFont="1"/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6" borderId="0" xfId="0" applyFill="1"/>
    <xf numFmtId="166" fontId="5" fillId="0" borderId="2" xfId="0" applyNumberFormat="1" applyFont="1" applyBorder="1" applyAlignment="1">
      <alignment horizontal="center" vertical="center"/>
    </xf>
    <xf numFmtId="9" fontId="1" fillId="0" borderId="0" xfId="1" applyFont="1"/>
    <xf numFmtId="0" fontId="19" fillId="7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2" fillId="2" borderId="1" xfId="0" applyFont="1" applyFill="1" applyBorder="1"/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1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0" fillId="0" borderId="1" xfId="0" applyBorder="1"/>
    <xf numFmtId="9" fontId="11" fillId="0" borderId="3" xfId="0" applyNumberFormat="1" applyFont="1" applyBorder="1" applyAlignment="1">
      <alignment horizontal="center" vertical="center"/>
    </xf>
    <xf numFmtId="9" fontId="23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" fontId="0" fillId="0" borderId="3" xfId="1" applyNumberFormat="1" applyFon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9" fontId="11" fillId="0" borderId="3" xfId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7" fillId="5" borderId="0" xfId="3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9" fontId="1" fillId="0" borderId="0" xfId="1" applyFont="1" applyAlignment="1">
      <alignment horizontal="center" vertical="center"/>
    </xf>
    <xf numFmtId="0" fontId="1" fillId="0" borderId="1" xfId="0" applyFont="1" applyBorder="1"/>
    <xf numFmtId="165" fontId="11" fillId="0" borderId="2" xfId="5" applyFont="1" applyBorder="1" applyAlignment="1">
      <alignment horizontal="center" vertical="center"/>
    </xf>
    <xf numFmtId="165" fontId="5" fillId="0" borderId="2" xfId="5" applyFont="1" applyBorder="1" applyAlignment="1">
      <alignment horizontal="center" vertical="center"/>
    </xf>
    <xf numFmtId="165" fontId="0" fillId="0" borderId="0" xfId="5" applyFont="1"/>
    <xf numFmtId="165" fontId="7" fillId="0" borderId="0" xfId="5" applyFont="1"/>
    <xf numFmtId="165" fontId="1" fillId="0" borderId="0" xfId="5" applyFont="1"/>
    <xf numFmtId="0" fontId="25" fillId="0" borderId="0" xfId="0" applyFont="1"/>
    <xf numFmtId="0" fontId="27" fillId="0" borderId="0" xfId="0" applyFont="1"/>
    <xf numFmtId="0" fontId="28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31" fillId="0" borderId="0" xfId="0" applyFont="1"/>
    <xf numFmtId="165" fontId="32" fillId="0" borderId="2" xfId="5" applyFont="1" applyBorder="1" applyAlignment="1">
      <alignment horizontal="center" vertical="center"/>
    </xf>
    <xf numFmtId="167" fontId="10" fillId="0" borderId="2" xfId="1" applyNumberFormat="1" applyFont="1" applyBorder="1" applyAlignment="1">
      <alignment horizontal="center" vertical="center"/>
    </xf>
    <xf numFmtId="9" fontId="10" fillId="0" borderId="2" xfId="1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165" fontId="34" fillId="0" borderId="2" xfId="5" applyFont="1" applyBorder="1" applyAlignment="1">
      <alignment horizontal="center" vertical="center"/>
    </xf>
    <xf numFmtId="166" fontId="34" fillId="0" borderId="2" xfId="0" applyNumberFormat="1" applyFont="1" applyBorder="1" applyAlignment="1">
      <alignment horizontal="center" vertical="center"/>
    </xf>
    <xf numFmtId="0" fontId="34" fillId="0" borderId="3" xfId="0" applyFont="1" applyBorder="1"/>
    <xf numFmtId="0" fontId="34" fillId="0" borderId="3" xfId="0" applyFont="1" applyBorder="1" applyAlignment="1">
      <alignment horizontal="center" vertical="center"/>
    </xf>
    <xf numFmtId="0" fontId="35" fillId="4" borderId="3" xfId="2" applyFont="1" applyBorder="1" applyAlignment="1">
      <alignment horizontal="center" vertical="center"/>
    </xf>
    <xf numFmtId="0" fontId="35" fillId="4" borderId="15" xfId="2" applyFont="1" applyBorder="1" applyAlignment="1">
      <alignment horizontal="center" vertical="center"/>
    </xf>
    <xf numFmtId="0" fontId="37" fillId="11" borderId="3" xfId="4" applyFont="1" applyBorder="1" applyAlignment="1">
      <alignment horizontal="center" vertical="center"/>
    </xf>
    <xf numFmtId="0" fontId="36" fillId="5" borderId="8" xfId="3" applyFont="1" applyBorder="1" applyAlignment="1">
      <alignment horizontal="center" vertical="center"/>
    </xf>
    <xf numFmtId="0" fontId="34" fillId="0" borderId="11" xfId="0" applyFont="1" applyBorder="1"/>
    <xf numFmtId="0" fontId="35" fillId="4" borderId="7" xfId="2" applyFont="1" applyBorder="1" applyAlignment="1">
      <alignment horizontal="center" vertical="center"/>
    </xf>
    <xf numFmtId="0" fontId="34" fillId="0" borderId="16" xfId="0" applyFont="1" applyBorder="1"/>
    <xf numFmtId="0" fontId="35" fillId="4" borderId="16" xfId="2" applyFont="1" applyBorder="1" applyAlignment="1">
      <alignment horizontal="center" vertical="center"/>
    </xf>
    <xf numFmtId="0" fontId="35" fillId="4" borderId="1" xfId="2" applyFont="1" applyBorder="1" applyAlignment="1">
      <alignment horizontal="center" vertical="center"/>
    </xf>
    <xf numFmtId="14" fontId="34" fillId="0" borderId="2" xfId="0" applyNumberFormat="1" applyFont="1" applyBorder="1" applyAlignment="1">
      <alignment horizontal="center" vertical="center"/>
    </xf>
    <xf numFmtId="0" fontId="35" fillId="4" borderId="13" xfId="2" applyFont="1" applyBorder="1" applyAlignment="1">
      <alignment horizontal="center" vertical="center"/>
    </xf>
    <xf numFmtId="0" fontId="37" fillId="11" borderId="8" xfId="4" applyFont="1" applyBorder="1" applyAlignment="1">
      <alignment horizontal="center" vertical="center"/>
    </xf>
    <xf numFmtId="0" fontId="34" fillId="0" borderId="17" xfId="0" applyFont="1" applyBorder="1"/>
    <xf numFmtId="0" fontId="34" fillId="0" borderId="8" xfId="0" applyFont="1" applyBorder="1" applyAlignment="1">
      <alignment horizontal="center" vertical="center"/>
    </xf>
    <xf numFmtId="0" fontId="34" fillId="0" borderId="2" xfId="0" applyFont="1" applyBorder="1"/>
    <xf numFmtId="0" fontId="35" fillId="4" borderId="12" xfId="2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4" fillId="0" borderId="19" xfId="0" applyFont="1" applyBorder="1"/>
    <xf numFmtId="0" fontId="35" fillId="4" borderId="10" xfId="2" applyFont="1" applyBorder="1" applyAlignment="1">
      <alignment horizontal="center" vertical="center"/>
    </xf>
    <xf numFmtId="0" fontId="34" fillId="0" borderId="15" xfId="0" applyFont="1" applyBorder="1"/>
    <xf numFmtId="0" fontId="35" fillId="4" borderId="14" xfId="2" applyFont="1" applyBorder="1" applyAlignment="1">
      <alignment horizontal="center" vertical="center"/>
    </xf>
    <xf numFmtId="0" fontId="34" fillId="0" borderId="1" xfId="0" applyFont="1" applyBorder="1"/>
    <xf numFmtId="0" fontId="34" fillId="0" borderId="14" xfId="0" applyFont="1" applyBorder="1"/>
    <xf numFmtId="0" fontId="35" fillId="12" borderId="3" xfId="0" applyFont="1" applyFill="1" applyBorder="1" applyAlignment="1">
      <alignment horizontal="center" vertical="center"/>
    </xf>
    <xf numFmtId="0" fontId="35" fillId="12" borderId="1" xfId="0" applyFont="1" applyFill="1" applyBorder="1" applyAlignment="1">
      <alignment horizontal="center" vertical="center"/>
    </xf>
    <xf numFmtId="0" fontId="34" fillId="0" borderId="13" xfId="0" applyFont="1" applyBorder="1"/>
    <xf numFmtId="0" fontId="34" fillId="0" borderId="18" xfId="0" applyFont="1" applyBorder="1"/>
    <xf numFmtId="0" fontId="35" fillId="4" borderId="19" xfId="2" applyFont="1" applyBorder="1" applyAlignment="1">
      <alignment horizontal="center" vertical="center"/>
    </xf>
    <xf numFmtId="0" fontId="34" fillId="0" borderId="21" xfId="0" applyFont="1" applyBorder="1"/>
    <xf numFmtId="0" fontId="34" fillId="10" borderId="2" xfId="0" applyFont="1" applyFill="1" applyBorder="1" applyAlignment="1">
      <alignment horizontal="center" vertical="center"/>
    </xf>
    <xf numFmtId="0" fontId="34" fillId="0" borderId="10" xfId="0" applyFont="1" applyBorder="1"/>
    <xf numFmtId="0" fontId="35" fillId="4" borderId="21" xfId="2" applyFont="1" applyBorder="1" applyAlignment="1">
      <alignment horizontal="center" vertical="center"/>
    </xf>
    <xf numFmtId="0" fontId="34" fillId="0" borderId="16" xfId="0" applyFont="1" applyBorder="1" applyAlignment="1">
      <alignment horizontal="center" vertical="center"/>
    </xf>
    <xf numFmtId="0" fontId="33" fillId="0" borderId="7" xfId="0" applyFont="1" applyBorder="1" applyAlignment="1">
      <alignment horizontal="left" vertical="center"/>
    </xf>
    <xf numFmtId="0" fontId="33" fillId="0" borderId="2" xfId="0" applyFont="1" applyBorder="1" applyAlignment="1">
      <alignment horizontal="left" vertical="center"/>
    </xf>
    <xf numFmtId="164" fontId="32" fillId="0" borderId="2" xfId="5" applyNumberFormat="1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6" fillId="5" borderId="3" xfId="3" applyFont="1" applyBorder="1" applyAlignment="1">
      <alignment horizontal="center" vertical="center"/>
    </xf>
    <xf numFmtId="0" fontId="34" fillId="0" borderId="20" xfId="0" applyFont="1" applyBorder="1"/>
    <xf numFmtId="0" fontId="35" fillId="12" borderId="13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7" fillId="11" borderId="7" xfId="4" applyFont="1" applyBorder="1" applyAlignment="1">
      <alignment horizontal="center" vertical="center"/>
    </xf>
    <xf numFmtId="0" fontId="0" fillId="0" borderId="2" xfId="0" applyBorder="1"/>
    <xf numFmtId="0" fontId="33" fillId="0" borderId="0" xfId="0" applyFont="1" applyAlignment="1">
      <alignment horizontal="center" vertical="center"/>
    </xf>
    <xf numFmtId="9" fontId="0" fillId="0" borderId="0" xfId="1" applyFont="1"/>
    <xf numFmtId="0" fontId="34" fillId="0" borderId="13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5" fillId="12" borderId="16" xfId="0" applyFont="1" applyFill="1" applyBorder="1" applyAlignment="1">
      <alignment horizontal="center" vertical="center"/>
    </xf>
    <xf numFmtId="0" fontId="37" fillId="15" borderId="8" xfId="0" applyFont="1" applyFill="1" applyBorder="1" applyAlignment="1">
      <alignment horizontal="center" vertical="center"/>
    </xf>
    <xf numFmtId="0" fontId="37" fillId="15" borderId="3" xfId="0" applyFont="1" applyFill="1" applyBorder="1" applyAlignment="1">
      <alignment horizontal="center" vertical="center"/>
    </xf>
    <xf numFmtId="0" fontId="40" fillId="0" borderId="0" xfId="0" applyFont="1"/>
    <xf numFmtId="0" fontId="0" fillId="0" borderId="3" xfId="0" applyBorder="1"/>
    <xf numFmtId="0" fontId="40" fillId="0" borderId="3" xfId="0" applyFont="1" applyBorder="1"/>
    <xf numFmtId="0" fontId="41" fillId="0" borderId="3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 vertical="top"/>
    </xf>
    <xf numFmtId="0" fontId="44" fillId="0" borderId="3" xfId="6" applyFont="1" applyBorder="1" applyAlignment="1">
      <alignment horizontal="center" vertical="top"/>
    </xf>
    <xf numFmtId="0" fontId="45" fillId="0" borderId="3" xfId="0" applyFont="1" applyBorder="1" applyAlignment="1">
      <alignment horizontal="center" vertical="top"/>
    </xf>
    <xf numFmtId="0" fontId="0" fillId="0" borderId="0" xfId="0" applyAlignment="1">
      <alignment horizontal="center"/>
    </xf>
    <xf numFmtId="2" fontId="5" fillId="0" borderId="2" xfId="5" applyNumberFormat="1" applyFont="1" applyBorder="1" applyAlignment="1">
      <alignment horizontal="center" vertical="center"/>
    </xf>
    <xf numFmtId="2" fontId="11" fillId="0" borderId="2" xfId="5" applyNumberFormat="1" applyFont="1" applyBorder="1" applyAlignment="1">
      <alignment horizontal="center" vertical="center"/>
    </xf>
    <xf numFmtId="2" fontId="0" fillId="0" borderId="0" xfId="5" applyNumberFormat="1" applyFont="1"/>
    <xf numFmtId="2" fontId="7" fillId="0" borderId="0" xfId="5" applyNumberFormat="1" applyFont="1"/>
    <xf numFmtId="2" fontId="1" fillId="0" borderId="0" xfId="5" applyNumberFormat="1" applyFont="1"/>
    <xf numFmtId="1" fontId="5" fillId="0" borderId="2" xfId="5" applyNumberFormat="1" applyFont="1" applyBorder="1" applyAlignment="1">
      <alignment horizontal="center" vertical="center"/>
    </xf>
    <xf numFmtId="165" fontId="10" fillId="0" borderId="2" xfId="5" applyFont="1" applyBorder="1" applyAlignment="1">
      <alignment horizontal="center" vertical="center"/>
    </xf>
    <xf numFmtId="1" fontId="47" fillId="5" borderId="2" xfId="3" applyNumberFormat="1" applyFont="1" applyBorder="1" applyAlignment="1">
      <alignment horizontal="center" vertical="center"/>
    </xf>
    <xf numFmtId="1" fontId="48" fillId="11" borderId="2" xfId="4" applyNumberFormat="1" applyFont="1" applyBorder="1" applyAlignment="1">
      <alignment horizontal="center" vertical="center"/>
    </xf>
    <xf numFmtId="1" fontId="39" fillId="4" borderId="2" xfId="2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165" fontId="49" fillId="0" borderId="2" xfId="5" applyFont="1" applyBorder="1" applyAlignment="1">
      <alignment horizontal="center" vertical="center"/>
    </xf>
    <xf numFmtId="1" fontId="36" fillId="5" borderId="2" xfId="3" applyNumberFormat="1" applyFont="1" applyBorder="1" applyAlignment="1">
      <alignment horizontal="center" vertical="center"/>
    </xf>
    <xf numFmtId="165" fontId="50" fillId="0" borderId="2" xfId="5" applyFont="1" applyBorder="1" applyAlignment="1">
      <alignment horizontal="center" vertical="center"/>
    </xf>
    <xf numFmtId="9" fontId="51" fillId="0" borderId="2" xfId="1" applyFont="1" applyBorder="1" applyAlignment="1">
      <alignment horizontal="center" vertical="center"/>
    </xf>
    <xf numFmtId="0" fontId="34" fillId="0" borderId="8" xfId="0" applyFont="1" applyBorder="1"/>
    <xf numFmtId="0" fontId="37" fillId="15" borderId="2" xfId="0" applyFont="1" applyFill="1" applyBorder="1" applyAlignment="1">
      <alignment horizontal="center" vertical="center"/>
    </xf>
    <xf numFmtId="1" fontId="36" fillId="5" borderId="8" xfId="3" applyNumberFormat="1" applyFont="1" applyBorder="1" applyAlignment="1">
      <alignment horizontal="center" vertical="center"/>
    </xf>
    <xf numFmtId="1" fontId="35" fillId="4" borderId="8" xfId="2" applyNumberFormat="1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1" fontId="35" fillId="4" borderId="3" xfId="2" applyNumberFormat="1" applyFont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1" fillId="0" borderId="0" xfId="0" applyFont="1" applyAlignment="1">
      <alignment horizontal="right"/>
    </xf>
    <xf numFmtId="166" fontId="34" fillId="0" borderId="7" xfId="0" applyNumberFormat="1" applyFont="1" applyBorder="1" applyAlignment="1">
      <alignment horizontal="center" vertical="center"/>
    </xf>
    <xf numFmtId="14" fontId="34" fillId="0" borderId="7" xfId="0" applyNumberFormat="1" applyFont="1" applyBorder="1" applyAlignment="1">
      <alignment horizontal="center" vertical="center"/>
    </xf>
    <xf numFmtId="0" fontId="34" fillId="0" borderId="5" xfId="0" applyFont="1" applyBorder="1"/>
    <xf numFmtId="0" fontId="35" fillId="4" borderId="5" xfId="2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7" fillId="11" borderId="5" xfId="4" applyFont="1" applyBorder="1" applyAlignment="1">
      <alignment horizontal="center" vertical="center"/>
    </xf>
    <xf numFmtId="0" fontId="37" fillId="11" borderId="24" xfId="4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7" fillId="11" borderId="14" xfId="4" applyFont="1" applyBorder="1" applyAlignment="1">
      <alignment horizontal="center" vertical="center"/>
    </xf>
    <xf numFmtId="0" fontId="34" fillId="0" borderId="6" xfId="0" applyFont="1" applyBorder="1"/>
    <xf numFmtId="0" fontId="35" fillId="4" borderId="6" xfId="2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25" xfId="0" applyFont="1" applyBorder="1"/>
    <xf numFmtId="0" fontId="35" fillId="4" borderId="25" xfId="2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37" fillId="11" borderId="6" xfId="4" applyFont="1" applyBorder="1" applyAlignment="1">
      <alignment horizontal="center" vertical="center"/>
    </xf>
    <xf numFmtId="0" fontId="37" fillId="11" borderId="26" xfId="4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37" fillId="11" borderId="18" xfId="4" applyFont="1" applyBorder="1" applyAlignment="1">
      <alignment horizontal="center" vertical="center"/>
    </xf>
    <xf numFmtId="165" fontId="34" fillId="0" borderId="2" xfId="5" applyFont="1" applyFill="1" applyBorder="1" applyAlignment="1">
      <alignment horizontal="center" vertical="center"/>
    </xf>
    <xf numFmtId="165" fontId="32" fillId="0" borderId="2" xfId="5" applyFont="1" applyFill="1" applyBorder="1" applyAlignment="1">
      <alignment horizontal="center" vertical="center"/>
    </xf>
    <xf numFmtId="165" fontId="49" fillId="0" borderId="2" xfId="5" applyFont="1" applyFill="1" applyBorder="1" applyAlignment="1">
      <alignment horizontal="center" vertical="center"/>
    </xf>
    <xf numFmtId="165" fontId="50" fillId="0" borderId="2" xfId="5" applyFont="1" applyFill="1" applyBorder="1" applyAlignment="1">
      <alignment horizontal="center" vertical="center"/>
    </xf>
    <xf numFmtId="9" fontId="10" fillId="0" borderId="2" xfId="1" applyFont="1" applyFill="1" applyBorder="1" applyAlignment="1">
      <alignment horizontal="center" vertical="center"/>
    </xf>
    <xf numFmtId="165" fontId="5" fillId="0" borderId="2" xfId="5" applyFont="1" applyFill="1" applyBorder="1" applyAlignment="1">
      <alignment horizontal="center" vertical="center"/>
    </xf>
    <xf numFmtId="14" fontId="34" fillId="17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53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26" fillId="16" borderId="0" xfId="0" applyFont="1" applyFill="1" applyAlignment="1">
      <alignment horizontal="center"/>
    </xf>
    <xf numFmtId="0" fontId="26" fillId="18" borderId="1" xfId="0" applyFont="1" applyFill="1" applyBorder="1" applyAlignment="1">
      <alignment horizontal="center"/>
    </xf>
    <xf numFmtId="0" fontId="32" fillId="0" borderId="2" xfId="0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54" fillId="0" borderId="3" xfId="2" applyFont="1" applyFill="1" applyBorder="1" applyAlignment="1">
      <alignment horizontal="center" vertical="center"/>
    </xf>
    <xf numFmtId="0" fontId="54" fillId="0" borderId="6" xfId="2" applyFont="1" applyFill="1" applyBorder="1" applyAlignment="1">
      <alignment horizontal="center" vertical="center"/>
    </xf>
    <xf numFmtId="0" fontId="55" fillId="0" borderId="2" xfId="0" applyFont="1" applyBorder="1" applyAlignment="1">
      <alignment horizontal="center" vertical="center"/>
    </xf>
    <xf numFmtId="0" fontId="32" fillId="0" borderId="17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54" fillId="0" borderId="5" xfId="2" applyFont="1" applyFill="1" applyBorder="1" applyAlignment="1">
      <alignment horizontal="center" vertical="center"/>
    </xf>
    <xf numFmtId="0" fontId="54" fillId="0" borderId="16" xfId="2" applyFont="1" applyFill="1" applyBorder="1" applyAlignment="1">
      <alignment horizontal="center" vertical="center"/>
    </xf>
    <xf numFmtId="0" fontId="32" fillId="17" borderId="3" xfId="0" applyFont="1" applyFill="1" applyBorder="1" applyAlignment="1">
      <alignment horizontal="center" vertical="center"/>
    </xf>
    <xf numFmtId="0" fontId="16" fillId="4" borderId="0" xfId="2" applyAlignment="1">
      <alignment horizontal="center" vertical="center"/>
    </xf>
    <xf numFmtId="0" fontId="24" fillId="11" borderId="0" xfId="4" applyAlignment="1">
      <alignment horizontal="center" vertical="center"/>
    </xf>
    <xf numFmtId="0" fontId="1" fillId="20" borderId="0" xfId="0" applyFont="1" applyFill="1" applyAlignment="1">
      <alignment horizontal="center" vertical="center"/>
    </xf>
    <xf numFmtId="0" fontId="56" fillId="0" borderId="0" xfId="0" applyFont="1" applyAlignment="1">
      <alignment vertical="top"/>
    </xf>
    <xf numFmtId="0" fontId="58" fillId="0" borderId="0" xfId="0" applyFont="1"/>
    <xf numFmtId="0" fontId="55" fillId="21" borderId="3" xfId="0" applyFont="1" applyFill="1" applyBorder="1" applyAlignment="1">
      <alignment horizontal="center" vertical="center"/>
    </xf>
    <xf numFmtId="0" fontId="59" fillId="0" borderId="16" xfId="0" applyFont="1" applyBorder="1" applyAlignment="1">
      <alignment horizontal="center" vertical="center"/>
    </xf>
    <xf numFmtId="0" fontId="34" fillId="0" borderId="0" xfId="0" applyFont="1"/>
    <xf numFmtId="0" fontId="26" fillId="18" borderId="1" xfId="0" applyFont="1" applyFill="1" applyBorder="1"/>
    <xf numFmtId="0" fontId="26" fillId="16" borderId="0" xfId="0" applyFont="1" applyFill="1"/>
    <xf numFmtId="0" fontId="26" fillId="19" borderId="0" xfId="0" applyFont="1" applyFill="1"/>
    <xf numFmtId="0" fontId="34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left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/>
    </xf>
    <xf numFmtId="0" fontId="26" fillId="16" borderId="1" xfId="0" applyFont="1" applyFill="1" applyBorder="1"/>
    <xf numFmtId="0" fontId="26" fillId="20" borderId="1" xfId="0" applyFont="1" applyFill="1" applyBorder="1"/>
    <xf numFmtId="0" fontId="60" fillId="0" borderId="1" xfId="0" applyFont="1" applyBorder="1" applyAlignment="1">
      <alignment horizontal="left" vertical="center"/>
    </xf>
    <xf numFmtId="9" fontId="0" fillId="0" borderId="0" xfId="1" applyFont="1" applyAlignment="1">
      <alignment horizontal="right"/>
    </xf>
    <xf numFmtId="0" fontId="32" fillId="0" borderId="1" xfId="0" applyFont="1" applyBorder="1" applyAlignment="1">
      <alignment horizontal="left" vertical="center"/>
    </xf>
    <xf numFmtId="0" fontId="61" fillId="17" borderId="0" xfId="0" applyFont="1" applyFill="1"/>
    <xf numFmtId="0" fontId="0" fillId="17" borderId="0" xfId="0" applyFill="1" applyAlignment="1">
      <alignment horizontal="right"/>
    </xf>
    <xf numFmtId="9" fontId="0" fillId="17" borderId="0" xfId="1" applyFont="1" applyFill="1" applyAlignment="1">
      <alignment horizontal="right"/>
    </xf>
    <xf numFmtId="0" fontId="0" fillId="17" borderId="1" xfId="0" applyFill="1" applyBorder="1" applyAlignment="1">
      <alignment horizontal="right"/>
    </xf>
    <xf numFmtId="0" fontId="0" fillId="17" borderId="0" xfId="0" applyFill="1"/>
    <xf numFmtId="0" fontId="61" fillId="17" borderId="0" xfId="0" applyFont="1" applyFill="1" applyAlignment="1">
      <alignment vertical="center"/>
    </xf>
    <xf numFmtId="0" fontId="0" fillId="17" borderId="0" xfId="0" applyFill="1" applyAlignment="1">
      <alignment vertical="center"/>
    </xf>
    <xf numFmtId="0" fontId="0" fillId="17" borderId="0" xfId="0" applyFill="1" applyAlignment="1">
      <alignment horizontal="right" vertical="center"/>
    </xf>
    <xf numFmtId="9" fontId="0" fillId="17" borderId="0" xfId="1" applyFont="1" applyFill="1" applyAlignment="1">
      <alignment horizontal="right" vertical="center"/>
    </xf>
    <xf numFmtId="0" fontId="32" fillId="0" borderId="1" xfId="0" applyFont="1" applyBorder="1" applyAlignment="1">
      <alignment horizontal="right" vertical="center"/>
    </xf>
    <xf numFmtId="0" fontId="55" fillId="21" borderId="2" xfId="0" applyFont="1" applyFill="1" applyBorder="1" applyAlignment="1">
      <alignment horizontal="center" vertical="center"/>
    </xf>
    <xf numFmtId="0" fontId="55" fillId="0" borderId="3" xfId="0" applyFont="1" applyBorder="1" applyAlignment="1">
      <alignment horizontal="center" vertical="center"/>
    </xf>
    <xf numFmtId="0" fontId="32" fillId="0" borderId="19" xfId="0" applyFont="1" applyBorder="1" applyAlignment="1">
      <alignment horizontal="center" vertical="center"/>
    </xf>
    <xf numFmtId="0" fontId="54" fillId="0" borderId="17" xfId="2" applyFont="1" applyFill="1" applyBorder="1" applyAlignment="1">
      <alignment horizontal="center" vertical="center"/>
    </xf>
    <xf numFmtId="0" fontId="54" fillId="0" borderId="14" xfId="2" applyFont="1" applyFill="1" applyBorder="1" applyAlignment="1">
      <alignment horizontal="center" vertical="center"/>
    </xf>
    <xf numFmtId="0" fontId="55" fillId="21" borderId="5" xfId="0" applyFont="1" applyFill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54" fillId="0" borderId="25" xfId="2" applyFont="1" applyFill="1" applyBorder="1" applyAlignment="1">
      <alignment horizontal="center" vertical="center"/>
    </xf>
    <xf numFmtId="0" fontId="55" fillId="21" borderId="6" xfId="0" applyFont="1" applyFill="1" applyBorder="1" applyAlignment="1">
      <alignment horizontal="center" vertical="center"/>
    </xf>
    <xf numFmtId="0" fontId="55" fillId="21" borderId="25" xfId="0" applyFont="1" applyFill="1" applyBorder="1" applyAlignment="1">
      <alignment horizontal="center" vertical="center"/>
    </xf>
    <xf numFmtId="0" fontId="55" fillId="21" borderId="14" xfId="0" applyFont="1" applyFill="1" applyBorder="1" applyAlignment="1">
      <alignment horizontal="center" vertical="center"/>
    </xf>
    <xf numFmtId="0" fontId="55" fillId="21" borderId="16" xfId="0" applyFont="1" applyFill="1" applyBorder="1" applyAlignment="1">
      <alignment horizontal="center" vertical="center"/>
    </xf>
    <xf numFmtId="0" fontId="55" fillId="21" borderId="17" xfId="0" applyFont="1" applyFill="1" applyBorder="1" applyAlignment="1">
      <alignment horizontal="center" vertical="center"/>
    </xf>
    <xf numFmtId="0" fontId="35" fillId="4" borderId="17" xfId="2" applyFont="1" applyBorder="1" applyAlignment="1">
      <alignment horizontal="center" vertical="center"/>
    </xf>
    <xf numFmtId="0" fontId="35" fillId="12" borderId="7" xfId="0" applyFont="1" applyFill="1" applyBorder="1" applyAlignment="1">
      <alignment horizontal="center" vertical="center"/>
    </xf>
    <xf numFmtId="0" fontId="35" fillId="12" borderId="5" xfId="0" applyFont="1" applyFill="1" applyBorder="1" applyAlignment="1">
      <alignment horizontal="center" vertical="center"/>
    </xf>
    <xf numFmtId="0" fontId="35" fillId="4" borderId="20" xfId="2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" fontId="35" fillId="4" borderId="2" xfId="2" applyNumberFormat="1" applyFont="1" applyBorder="1" applyAlignment="1">
      <alignment horizontal="center" vertical="center"/>
    </xf>
    <xf numFmtId="0" fontId="55" fillId="21" borderId="19" xfId="0" applyFont="1" applyFill="1" applyBorder="1" applyAlignment="1">
      <alignment horizontal="center" vertical="center"/>
    </xf>
    <xf numFmtId="168" fontId="0" fillId="17" borderId="0" xfId="5" applyNumberFormat="1" applyFont="1" applyFill="1"/>
    <xf numFmtId="0" fontId="32" fillId="17" borderId="2" xfId="0" applyFont="1" applyFill="1" applyBorder="1" applyAlignment="1">
      <alignment horizontal="center" vertical="center"/>
    </xf>
    <xf numFmtId="0" fontId="32" fillId="17" borderId="16" xfId="0" applyFont="1" applyFill="1" applyBorder="1" applyAlignment="1">
      <alignment horizontal="center" vertical="center"/>
    </xf>
    <xf numFmtId="0" fontId="0" fillId="0" borderId="9" xfId="0" applyBorder="1"/>
    <xf numFmtId="0" fontId="35" fillId="12" borderId="10" xfId="0" applyFont="1" applyFill="1" applyBorder="1" applyAlignment="1">
      <alignment horizontal="center" vertical="center"/>
    </xf>
    <xf numFmtId="168" fontId="0" fillId="17" borderId="0" xfId="0" applyNumberFormat="1" applyFill="1"/>
    <xf numFmtId="0" fontId="35" fillId="12" borderId="15" xfId="0" applyFont="1" applyFill="1" applyBorder="1" applyAlignment="1">
      <alignment horizontal="center" vertical="center"/>
    </xf>
    <xf numFmtId="0" fontId="37" fillId="11" borderId="16" xfId="4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165" fontId="0" fillId="0" borderId="3" xfId="5" applyFont="1" applyBorder="1"/>
    <xf numFmtId="0" fontId="25" fillId="6" borderId="3" xfId="0" applyFont="1" applyFill="1" applyBorder="1"/>
    <xf numFmtId="166" fontId="34" fillId="17" borderId="2" xfId="0" applyNumberFormat="1" applyFont="1" applyFill="1" applyBorder="1" applyAlignment="1">
      <alignment horizontal="center" vertical="center"/>
    </xf>
    <xf numFmtId="0" fontId="33" fillId="17" borderId="7" xfId="0" applyFont="1" applyFill="1" applyBorder="1" applyAlignment="1">
      <alignment horizontal="left" vertical="center"/>
    </xf>
    <xf numFmtId="165" fontId="32" fillId="17" borderId="2" xfId="5" applyFont="1" applyFill="1" applyBorder="1" applyAlignment="1">
      <alignment horizontal="center" vertical="center"/>
    </xf>
    <xf numFmtId="0" fontId="5" fillId="17" borderId="2" xfId="0" applyFont="1" applyFill="1" applyBorder="1" applyAlignment="1">
      <alignment horizontal="center" vertical="center"/>
    </xf>
    <xf numFmtId="0" fontId="33" fillId="17" borderId="2" xfId="0" applyFont="1" applyFill="1" applyBorder="1" applyAlignment="1">
      <alignment horizontal="left" vertical="center"/>
    </xf>
    <xf numFmtId="0" fontId="38" fillId="0" borderId="1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3" fillId="22" borderId="3" xfId="0" applyFont="1" applyFill="1" applyBorder="1" applyAlignment="1">
      <alignment horizontal="right" vertical="center"/>
    </xf>
    <xf numFmtId="0" fontId="25" fillId="22" borderId="3" xfId="0" applyFont="1" applyFill="1" applyBorder="1" applyAlignment="1">
      <alignment horizontal="right"/>
    </xf>
    <xf numFmtId="1" fontId="48" fillId="15" borderId="2" xfId="0" applyNumberFormat="1" applyFont="1" applyFill="1" applyBorder="1" applyAlignment="1">
      <alignment horizontal="center" vertical="center"/>
    </xf>
    <xf numFmtId="0" fontId="36" fillId="23" borderId="3" xfId="0" applyFont="1" applyFill="1" applyBorder="1" applyAlignment="1">
      <alignment horizontal="center" vertical="center"/>
    </xf>
    <xf numFmtId="9" fontId="8" fillId="0" borderId="2" xfId="1" applyFont="1" applyBorder="1" applyAlignment="1">
      <alignment horizontal="center" vertical="center"/>
    </xf>
    <xf numFmtId="14" fontId="34" fillId="0" borderId="16" xfId="0" applyNumberFormat="1" applyFont="1" applyBorder="1" applyAlignment="1">
      <alignment horizontal="center" vertical="center"/>
    </xf>
    <xf numFmtId="0" fontId="34" fillId="0" borderId="27" xfId="0" applyFont="1" applyBorder="1" applyAlignment="1">
      <alignment horizontal="center" vertical="center"/>
    </xf>
    <xf numFmtId="0" fontId="36" fillId="5" borderId="6" xfId="3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14" fontId="34" fillId="17" borderId="16" xfId="0" applyNumberFormat="1" applyFont="1" applyFill="1" applyBorder="1" applyAlignment="1">
      <alignment horizontal="center" vertical="center"/>
    </xf>
    <xf numFmtId="0" fontId="33" fillId="17" borderId="16" xfId="0" applyFont="1" applyFill="1" applyBorder="1" applyAlignment="1">
      <alignment horizontal="left" vertical="center"/>
    </xf>
    <xf numFmtId="165" fontId="32" fillId="17" borderId="16" xfId="5" applyFont="1" applyFill="1" applyBorder="1" applyAlignment="1">
      <alignment horizontal="center" vertical="center"/>
    </xf>
    <xf numFmtId="167" fontId="10" fillId="17" borderId="16" xfId="1" applyNumberFormat="1" applyFont="1" applyFill="1" applyBorder="1" applyAlignment="1">
      <alignment horizontal="center" vertical="center"/>
    </xf>
    <xf numFmtId="165" fontId="49" fillId="17" borderId="16" xfId="5" applyFont="1" applyFill="1" applyBorder="1" applyAlignment="1">
      <alignment horizontal="center" vertical="center"/>
    </xf>
    <xf numFmtId="0" fontId="37" fillId="17" borderId="16" xfId="0" applyFont="1" applyFill="1" applyBorder="1" applyAlignment="1">
      <alignment horizontal="center" vertical="center"/>
    </xf>
    <xf numFmtId="0" fontId="34" fillId="0" borderId="29" xfId="0" applyFont="1" applyBorder="1" applyAlignment="1">
      <alignment horizontal="center" vertical="center"/>
    </xf>
    <xf numFmtId="0" fontId="55" fillId="21" borderId="30" xfId="0" applyFont="1" applyFill="1" applyBorder="1" applyAlignment="1">
      <alignment horizontal="center" vertical="center"/>
    </xf>
    <xf numFmtId="0" fontId="32" fillId="0" borderId="31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14" fontId="34" fillId="0" borderId="29" xfId="0" applyNumberFormat="1" applyFont="1" applyBorder="1" applyAlignment="1">
      <alignment horizontal="center" vertical="center"/>
    </xf>
    <xf numFmtId="0" fontId="35" fillId="12" borderId="31" xfId="0" applyFont="1" applyFill="1" applyBorder="1" applyAlignment="1">
      <alignment horizontal="center" vertical="center"/>
    </xf>
    <xf numFmtId="0" fontId="59" fillId="0" borderId="31" xfId="0" applyFont="1" applyBorder="1" applyAlignment="1">
      <alignment horizontal="center" vertical="center"/>
    </xf>
    <xf numFmtId="0" fontId="37" fillId="11" borderId="31" xfId="4" applyFont="1" applyBorder="1" applyAlignment="1">
      <alignment horizontal="center" vertical="center"/>
    </xf>
    <xf numFmtId="0" fontId="37" fillId="15" borderId="30" xfId="0" applyFont="1" applyFill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14" fontId="34" fillId="17" borderId="29" xfId="0" applyNumberFormat="1" applyFont="1" applyFill="1" applyBorder="1" applyAlignment="1">
      <alignment horizontal="center" vertical="center"/>
    </xf>
    <xf numFmtId="0" fontId="33" fillId="17" borderId="29" xfId="0" applyFont="1" applyFill="1" applyBorder="1" applyAlignment="1">
      <alignment horizontal="left" vertical="center"/>
    </xf>
    <xf numFmtId="165" fontId="32" fillId="17" borderId="29" xfId="5" applyFont="1" applyFill="1" applyBorder="1" applyAlignment="1">
      <alignment horizontal="center" vertical="center"/>
    </xf>
    <xf numFmtId="0" fontId="5" fillId="17" borderId="29" xfId="0" applyFont="1" applyFill="1" applyBorder="1" applyAlignment="1">
      <alignment horizontal="center" vertical="center"/>
    </xf>
    <xf numFmtId="0" fontId="1" fillId="0" borderId="33" xfId="0" applyFont="1" applyBorder="1"/>
    <xf numFmtId="0" fontId="0" fillId="0" borderId="33" xfId="0" applyBorder="1"/>
    <xf numFmtId="0" fontId="38" fillId="0" borderId="29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165" fontId="34" fillId="0" borderId="29" xfId="5" applyFont="1" applyBorder="1" applyAlignment="1">
      <alignment horizontal="center" vertical="center"/>
    </xf>
    <xf numFmtId="166" fontId="34" fillId="0" borderId="29" xfId="0" applyNumberFormat="1" applyFont="1" applyBorder="1" applyAlignment="1">
      <alignment horizontal="center" vertical="center"/>
    </xf>
    <xf numFmtId="0" fontId="34" fillId="0" borderId="34" xfId="0" applyFont="1" applyBorder="1"/>
    <xf numFmtId="0" fontId="34" fillId="0" borderId="31" xfId="0" applyFont="1" applyBorder="1"/>
    <xf numFmtId="0" fontId="35" fillId="4" borderId="31" xfId="2" applyFont="1" applyBorder="1" applyAlignment="1">
      <alignment horizontal="center" vertical="center"/>
    </xf>
    <xf numFmtId="0" fontId="34" fillId="0" borderId="28" xfId="0" applyFont="1" applyBorder="1" applyAlignment="1">
      <alignment horizontal="center" vertical="center"/>
    </xf>
    <xf numFmtId="0" fontId="36" fillId="5" borderId="30" xfId="3" applyFont="1" applyBorder="1" applyAlignment="1">
      <alignment horizontal="center" vertical="center"/>
    </xf>
    <xf numFmtId="0" fontId="33" fillId="0" borderId="29" xfId="0" applyFont="1" applyBorder="1" applyAlignment="1">
      <alignment horizontal="left" vertical="center"/>
    </xf>
    <xf numFmtId="165" fontId="32" fillId="0" borderId="29" xfId="5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9" fontId="40" fillId="0" borderId="0" xfId="0" applyNumberFormat="1" applyFont="1"/>
    <xf numFmtId="0" fontId="32" fillId="0" borderId="1" xfId="0" applyFont="1" applyBorder="1" applyAlignment="1">
      <alignment horizontal="center" vertical="center"/>
    </xf>
    <xf numFmtId="16" fontId="33" fillId="0" borderId="2" xfId="0" applyNumberFormat="1" applyFont="1" applyBorder="1" applyAlignment="1">
      <alignment horizontal="left" vertical="center"/>
    </xf>
    <xf numFmtId="0" fontId="5" fillId="17" borderId="1" xfId="0" applyFont="1" applyFill="1" applyBorder="1" applyAlignment="1">
      <alignment horizontal="center" vertical="center"/>
    </xf>
    <xf numFmtId="0" fontId="24" fillId="11" borderId="6" xfId="4" applyBorder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26" fillId="13" borderId="0" xfId="0" applyFont="1" applyFill="1" applyAlignment="1">
      <alignment horizontal="center"/>
    </xf>
    <xf numFmtId="0" fontId="26" fillId="14" borderId="0" xfId="0" applyFont="1" applyFill="1" applyAlignment="1">
      <alignment horizontal="center"/>
    </xf>
    <xf numFmtId="0" fontId="19" fillId="7" borderId="1" xfId="0" applyFont="1" applyFill="1" applyBorder="1" applyAlignment="1">
      <alignment horizontal="center" vertical="center"/>
    </xf>
    <xf numFmtId="0" fontId="19" fillId="7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6" fillId="0" borderId="0" xfId="0" applyFont="1" applyAlignment="1">
      <alignment horizontal="left" vertical="top"/>
    </xf>
    <xf numFmtId="0" fontId="62" fillId="0" borderId="0" xfId="0" applyFont="1" applyAlignment="1">
      <alignment horizontal="left" vertical="top"/>
    </xf>
  </cellXfs>
  <cellStyles count="7">
    <cellStyle name="Bad" xfId="3" builtinId="27"/>
    <cellStyle name="Currency" xfId="5" builtinId="4"/>
    <cellStyle name="Good" xfId="2" builtinId="26"/>
    <cellStyle name="Neutral" xfId="4" builtinId="28"/>
    <cellStyle name="Normal" xfId="0" builtinId="0"/>
    <cellStyle name="Normal 2" xfId="6" xr:uid="{C56C90B3-57C1-CF44-9E6A-F0252E597A3E}"/>
    <cellStyle name="Percent" xfId="1" builtinId="5"/>
  </cellStyles>
  <dxfs count="225"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</dxfs>
  <tableStyles count="0" defaultTableStyle="TableStyleMedium2" defaultPivotStyle="PivotStyleLight16"/>
  <colors>
    <mruColors>
      <color rgb="FFC3C4C9"/>
      <color rgb="FF6B6E77"/>
      <color rgb="FF788089"/>
      <color rgb="FFB3B3B3"/>
      <color rgb="FFC3C4C8"/>
      <color rgb="FFFF4C00"/>
      <color rgb="FFFF4E00"/>
      <color rgb="FFFC4E02"/>
      <color rgb="FFE3E4E7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'Base de Cálculo'!$D$9</c:f>
              <c:strCache>
                <c:ptCount val="1"/>
                <c:pt idx="0">
                  <c:v>Aceites</c:v>
                </c:pt>
              </c:strCache>
            </c:strRef>
          </c:tx>
          <c:spPr>
            <a:solidFill>
              <a:srgbClr val="FC4E0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Cálculo'!$B$11:$B$16</c:f>
              <c:strCache>
                <c:ptCount val="6"/>
                <c:pt idx="0">
                  <c:v>Publicidade</c:v>
                </c:pt>
                <c:pt idx="1">
                  <c:v>Estratégia</c:v>
                </c:pt>
                <c:pt idx="2">
                  <c:v>Social Media</c:v>
                </c:pt>
                <c:pt idx="3">
                  <c:v>Digital</c:v>
                </c:pt>
                <c:pt idx="4">
                  <c:v>Design</c:v>
                </c:pt>
                <c:pt idx="5">
                  <c:v>360</c:v>
                </c:pt>
              </c:strCache>
            </c:strRef>
          </c:cat>
          <c:val>
            <c:numRef>
              <c:f>'Base de Cálculo'!$D$11:$D$16</c:f>
              <c:numCache>
                <c:formatCode>General</c:formatCode>
                <c:ptCount val="6"/>
                <c:pt idx="0">
                  <c:v>12</c:v>
                </c:pt>
                <c:pt idx="1">
                  <c:v>2</c:v>
                </c:pt>
                <c:pt idx="2">
                  <c:v>18</c:v>
                </c:pt>
                <c:pt idx="3">
                  <c:v>15</c:v>
                </c:pt>
                <c:pt idx="4">
                  <c:v>22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61-BD46-97A9-8F248D0D558B}"/>
            </c:ext>
          </c:extLst>
        </c:ser>
        <c:ser>
          <c:idx val="2"/>
          <c:order val="1"/>
          <c:tx>
            <c:strRef>
              <c:f>'Base de Cálculo'!$E$9</c:f>
              <c:strCache>
                <c:ptCount val="1"/>
                <c:pt idx="0">
                  <c:v>Recusados</c:v>
                </c:pt>
              </c:strCache>
            </c:strRef>
          </c:tx>
          <c:spPr>
            <a:solidFill>
              <a:srgbClr val="6B6E77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61-BD46-97A9-8F248D0D55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Cálculo'!$B$11:$B$16</c:f>
              <c:strCache>
                <c:ptCount val="6"/>
                <c:pt idx="0">
                  <c:v>Publicidade</c:v>
                </c:pt>
                <c:pt idx="1">
                  <c:v>Estratégia</c:v>
                </c:pt>
                <c:pt idx="2">
                  <c:v>Social Media</c:v>
                </c:pt>
                <c:pt idx="3">
                  <c:v>Digital</c:v>
                </c:pt>
                <c:pt idx="4">
                  <c:v>Design</c:v>
                </c:pt>
                <c:pt idx="5">
                  <c:v>360</c:v>
                </c:pt>
              </c:strCache>
            </c:strRef>
          </c:cat>
          <c:val>
            <c:numRef>
              <c:f>'Base de Cálculo'!$E$11:$E$16</c:f>
              <c:numCache>
                <c:formatCode>General</c:formatCode>
                <c:ptCount val="6"/>
                <c:pt idx="0">
                  <c:v>5</c:v>
                </c:pt>
                <c:pt idx="1">
                  <c:v>0</c:v>
                </c:pt>
                <c:pt idx="2">
                  <c:v>9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61-BD46-97A9-8F248D0D558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100"/>
        <c:axId val="509745232"/>
        <c:axId val="509800480"/>
      </c:barChart>
      <c:catAx>
        <c:axId val="50974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50">
                <a:latin typeface="NeueHaasGroteskDisp Pro" panose="020B0504020202020204" pitchFamily="34" charset="77"/>
              </a:defRPr>
            </a:pPr>
            <a:endParaRPr lang="en-PT"/>
          </a:p>
        </c:txPr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1.0345236450706835E-2"/>
          <c:y val="2.8471380981223499E-2"/>
          <c:w val="0.18702318460192477"/>
          <c:h val="0.17382646880678376"/>
        </c:manualLayout>
      </c:layout>
      <c:overlay val="0"/>
      <c:txPr>
        <a:bodyPr/>
        <a:lstStyle/>
        <a:p>
          <a:pPr>
            <a:defRPr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738366685192811E-2"/>
          <c:y val="0.13233292953765394"/>
          <c:w val="0.70668956997267152"/>
          <c:h val="0.82577192274042666"/>
        </c:manualLayout>
      </c:layout>
      <c:doughnutChart>
        <c:varyColors val="1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dPt>
            <c:idx val="0"/>
            <c:bubble3D val="0"/>
            <c:spPr>
              <a:solidFill>
                <a:srgbClr val="FC4E0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674-5447-9B7D-EC3F8051391B}"/>
              </c:ext>
            </c:extLst>
          </c:dPt>
          <c:dPt>
            <c:idx val="1"/>
            <c:bubble3D val="0"/>
            <c:spPr>
              <a:solidFill>
                <a:srgbClr val="C3C4C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B674-5447-9B7D-EC3F8051391B}"/>
              </c:ext>
            </c:extLst>
          </c:dPt>
          <c:dLbls>
            <c:dLbl>
              <c:idx val="0"/>
              <c:layout>
                <c:manualLayout>
                  <c:x val="-1.0075566750629723E-2"/>
                  <c:y val="-4.1493775933609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74-5447-9B7D-EC3F805139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'Base de Cálculo'!$P$19:$Q$19</c:f>
              <c:strCache>
                <c:ptCount val="2"/>
                <c:pt idx="0">
                  <c:v>Cumpre </c:v>
                </c:pt>
                <c:pt idx="1">
                  <c:v>N/Cumpre</c:v>
                </c:pt>
              </c:strCache>
            </c:strRef>
          </c:cat>
          <c:val>
            <c:numRef>
              <c:f>'Base de Cálculo'!$P$20:$Q$20</c:f>
              <c:numCache>
                <c:formatCode>General</c:formatCode>
                <c:ptCount val="2"/>
                <c:pt idx="0">
                  <c:v>18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DA-8D47-B990-306755E92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2"/>
      </c:doughnutChart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0.66169638049053003"/>
          <c:y val="9.4836799246248063E-2"/>
          <c:w val="0.27008238854796307"/>
          <c:h val="0.11910484873601326"/>
        </c:manualLayout>
      </c:layout>
      <c:overlay val="0"/>
      <c:txPr>
        <a:bodyPr/>
        <a:lstStyle/>
        <a:p>
          <a:pPr>
            <a:defRPr sz="1100"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v>Aceites</c:v>
          </c:tx>
          <c:spPr>
            <a:solidFill>
              <a:srgbClr val="FF4E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Cálculo'!$B$31:$B$37</c:f>
              <c:strCache>
                <c:ptCount val="7"/>
                <c:pt idx="0">
                  <c:v>Publicidade</c:v>
                </c:pt>
                <c:pt idx="1">
                  <c:v>Estratégia</c:v>
                </c:pt>
                <c:pt idx="2">
                  <c:v>Social Media</c:v>
                </c:pt>
                <c:pt idx="3">
                  <c:v>Digital</c:v>
                </c:pt>
                <c:pt idx="4">
                  <c:v>Design</c:v>
                </c:pt>
                <c:pt idx="5">
                  <c:v>360</c:v>
                </c:pt>
                <c:pt idx="6">
                  <c:v>Integrados </c:v>
                </c:pt>
              </c:strCache>
            </c:strRef>
          </c:cat>
          <c:val>
            <c:numRef>
              <c:f>'Base de Cálculo'!$D$31:$D$37</c:f>
              <c:numCache>
                <c:formatCode>General</c:formatCode>
                <c:ptCount val="7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7C-C04B-8AF5-BECB19AE928D}"/>
            </c:ext>
          </c:extLst>
        </c:ser>
        <c:ser>
          <c:idx val="2"/>
          <c:order val="1"/>
          <c:tx>
            <c:v>Recusados</c:v>
          </c:tx>
          <c:spPr>
            <a:solidFill>
              <a:srgbClr val="6B6E7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Cálculo'!$B$31:$B$37</c:f>
              <c:strCache>
                <c:ptCount val="7"/>
                <c:pt idx="0">
                  <c:v>Publicidade</c:v>
                </c:pt>
                <c:pt idx="1">
                  <c:v>Estratégia</c:v>
                </c:pt>
                <c:pt idx="2">
                  <c:v>Social Media</c:v>
                </c:pt>
                <c:pt idx="3">
                  <c:v>Digital</c:v>
                </c:pt>
                <c:pt idx="4">
                  <c:v>Design</c:v>
                </c:pt>
                <c:pt idx="5">
                  <c:v>360</c:v>
                </c:pt>
                <c:pt idx="6">
                  <c:v>Integrados </c:v>
                </c:pt>
              </c:strCache>
            </c:strRef>
          </c:cat>
          <c:val>
            <c:numRef>
              <c:f>'Base de Cálculo'!$E$31:$E$37</c:f>
              <c:numCache>
                <c:formatCode>General</c:formatCode>
                <c:ptCount val="7"/>
                <c:pt idx="0">
                  <c:v>10</c:v>
                </c:pt>
                <c:pt idx="1">
                  <c:v>11</c:v>
                </c:pt>
                <c:pt idx="2">
                  <c:v>18</c:v>
                </c:pt>
                <c:pt idx="3">
                  <c:v>12</c:v>
                </c:pt>
                <c:pt idx="4">
                  <c:v>8</c:v>
                </c:pt>
                <c:pt idx="5">
                  <c:v>0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7C-C04B-8AF5-BECB19AE92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100"/>
        <c:axId val="509745232"/>
        <c:axId val="509800480"/>
      </c:barChart>
      <c:catAx>
        <c:axId val="50974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50">
                <a:latin typeface="NeueHaasGroteskDisp Pro" panose="020B0504020202020204" pitchFamily="34" charset="77"/>
              </a:defRPr>
            </a:pPr>
            <a:endParaRPr lang="en-PT"/>
          </a:p>
        </c:txPr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1.0345236450706835E-2"/>
          <c:y val="2.8471380981223499E-2"/>
          <c:w val="0.18702318460192477"/>
          <c:h val="0.17382646880678376"/>
        </c:manualLayout>
      </c:layout>
      <c:overlay val="0"/>
      <c:txPr>
        <a:bodyPr/>
        <a:lstStyle/>
        <a:p>
          <a:pPr>
            <a:defRPr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dPt>
            <c:idx val="1"/>
            <c:bubble3D val="0"/>
            <c:spPr>
              <a:solidFill>
                <a:srgbClr val="C3C4C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C863-9A46-9140-90BEBF69247B}"/>
              </c:ext>
            </c:extLst>
          </c:dPt>
          <c:dLbls>
            <c:dLbl>
              <c:idx val="0"/>
              <c:layout>
                <c:manualLayout>
                  <c:x val="-1.0075566750629723E-2"/>
                  <c:y val="-4.1493775933609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63-9A46-9140-90BEBF6924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'Base de Cálculo'!$N$29:$O$29</c:f>
              <c:strCache>
                <c:ptCount val="2"/>
                <c:pt idx="0">
                  <c:v>Projeto</c:v>
                </c:pt>
                <c:pt idx="1">
                  <c:v>Fee</c:v>
                </c:pt>
              </c:strCache>
            </c:strRef>
          </c:cat>
          <c:val>
            <c:numRef>
              <c:f>'Base de Cálculo'!$N$30:$O$30</c:f>
              <c:numCache>
                <c:formatCode>General</c:formatCode>
                <c:ptCount val="2"/>
                <c:pt idx="0">
                  <c:v>32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63-9A46-9140-90BEBF6924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2"/>
      </c:doughnutChart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0.58083584562999757"/>
          <c:y val="3.1096832630091994E-2"/>
          <c:w val="0.22619545840492877"/>
          <c:h val="0.11910484873601326"/>
        </c:manualLayout>
      </c:layout>
      <c:overlay val="0"/>
      <c:txPr>
        <a:bodyPr/>
        <a:lstStyle/>
        <a:p>
          <a:pPr>
            <a:defRPr sz="1100"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1"/>
          <c:order val="0"/>
          <c:tx>
            <c:strRef>
              <c:f>'Base de Cálculo'!$R$29</c:f>
              <c:strCache>
                <c:ptCount val="1"/>
                <c:pt idx="0">
                  <c:v>&gt;120K</c:v>
                </c:pt>
              </c:strCache>
            </c:strRef>
          </c:tx>
          <c:spPr>
            <a:solidFill>
              <a:srgbClr val="6B6E7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bg1"/>
                    </a:solidFill>
                    <a:latin typeface="NeueHaasGroteskDisp Pro" panose="020B0504020202020204" pitchFamily="34" charset="77"/>
                    <a:ea typeface="+mn-ea"/>
                    <a:cs typeface="+mn-cs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'Base de Cálculo'!$R$30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7-DF4D-BA43-DD749DBBE6D8}"/>
            </c:ext>
          </c:extLst>
        </c:ser>
        <c:ser>
          <c:idx val="2"/>
          <c:order val="1"/>
          <c:tx>
            <c:strRef>
              <c:f>'Base de Cálculo'!$S$29</c:f>
              <c:strCache>
                <c:ptCount val="1"/>
                <c:pt idx="0">
                  <c:v>120K-40k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78808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0E08-2847-98BD-9C68B37C8E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bg1"/>
                    </a:solidFill>
                    <a:latin typeface="NeueHaasGroteskDisp Pro" panose="020B0504020202020204" pitchFamily="34" charset="77"/>
                    <a:ea typeface="+mn-ea"/>
                    <a:cs typeface="+mn-cs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'Base de Cálculo'!$S$30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B7-DF4D-BA43-DD749DBBE6D8}"/>
            </c:ext>
          </c:extLst>
        </c:ser>
        <c:ser>
          <c:idx val="0"/>
          <c:order val="2"/>
          <c:tx>
            <c:strRef>
              <c:f>'Base de Cálculo'!$T$29</c:f>
              <c:strCache>
                <c:ptCount val="1"/>
                <c:pt idx="0">
                  <c:v>&lt;40K</c:v>
                </c:pt>
              </c:strCache>
            </c:strRef>
          </c:tx>
          <c:spPr>
            <a:solidFill>
              <a:srgbClr val="C3C4C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bg1"/>
                    </a:solidFill>
                    <a:latin typeface="NeueHaasGroteskDisp Pro" panose="020B0504020202020204" pitchFamily="34" charset="77"/>
                    <a:ea typeface="+mn-ea"/>
                    <a:cs typeface="+mn-cs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'Base de Cálculo'!$T$30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B7-DF4D-BA43-DD749DBBE6D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100"/>
        <c:axId val="509745232"/>
        <c:axId val="509800480"/>
      </c:barChart>
      <c:catAx>
        <c:axId val="5097452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  <a:effectLst/>
      </c:spPr>
    </c:plotArea>
    <c:legend>
      <c:legendPos val="t"/>
      <c:layout>
        <c:manualLayout>
          <c:xMode val="edge"/>
          <c:yMode val="edge"/>
          <c:x val="0.80041666146723733"/>
          <c:y val="2.9556650246305417E-2"/>
          <c:w val="0.19958342903931675"/>
          <c:h val="9.00085033513554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PT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738366685192811E-2"/>
          <c:y val="0.13233292953765394"/>
          <c:w val="0.70668956997267152"/>
          <c:h val="0.82577192274042666"/>
        </c:manualLayout>
      </c:layout>
      <c:doughnutChart>
        <c:varyColors val="1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dPt>
            <c:idx val="0"/>
            <c:bubble3D val="0"/>
            <c:spPr>
              <a:solidFill>
                <a:srgbClr val="FC4E0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08C-134C-B025-206FFA1A760E}"/>
              </c:ext>
            </c:extLst>
          </c:dPt>
          <c:dPt>
            <c:idx val="1"/>
            <c:bubble3D val="0"/>
            <c:spPr>
              <a:solidFill>
                <a:srgbClr val="C3C4C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08C-134C-B025-206FFA1A760E}"/>
              </c:ext>
            </c:extLst>
          </c:dPt>
          <c:dLbls>
            <c:dLbl>
              <c:idx val="0"/>
              <c:layout>
                <c:manualLayout>
                  <c:x val="-1.0075566750629723E-2"/>
                  <c:y val="-4.1493775933609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8C-134C-B025-206FFA1A76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'Base de Cálculo'!$P$29:$Q$29</c:f>
              <c:strCache>
                <c:ptCount val="2"/>
                <c:pt idx="0">
                  <c:v>Cumpre </c:v>
                </c:pt>
                <c:pt idx="1">
                  <c:v>N/Cumpre</c:v>
                </c:pt>
              </c:strCache>
            </c:strRef>
          </c:cat>
          <c:val>
            <c:numRef>
              <c:f>'Base de Cálculo'!$P$30:$Q$30</c:f>
              <c:numCache>
                <c:formatCode>General</c:formatCode>
                <c:ptCount val="2"/>
                <c:pt idx="0">
                  <c:v>10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8C-134C-B025-206FFA1A7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2"/>
      </c:doughnutChart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0.66169638049053003"/>
          <c:y val="9.4836799246248063E-2"/>
          <c:w val="0.27008238854796307"/>
          <c:h val="0.11910484873601326"/>
        </c:manualLayout>
      </c:layout>
      <c:overlay val="0"/>
      <c:txPr>
        <a:bodyPr/>
        <a:lstStyle/>
        <a:p>
          <a:pPr>
            <a:defRPr sz="1100"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6B6E77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Cálculo'!$K$29:$M$29</c:f>
              <c:strCache>
                <c:ptCount val="3"/>
                <c:pt idx="0">
                  <c:v>Orçamento</c:v>
                </c:pt>
                <c:pt idx="1">
                  <c:v>Estratégia </c:v>
                </c:pt>
                <c:pt idx="2">
                  <c:v>Criatividade</c:v>
                </c:pt>
              </c:strCache>
            </c:strRef>
          </c:cat>
          <c:val>
            <c:numRef>
              <c:f>'Base de Cálculo'!$K$30:$M$30</c:f>
              <c:numCache>
                <c:formatCode>General</c:formatCode>
                <c:ptCount val="3"/>
                <c:pt idx="0">
                  <c:v>15</c:v>
                </c:pt>
                <c:pt idx="1">
                  <c:v>0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62-924D-9E77-DFC6C7A0D1D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-27"/>
        <c:axId val="509745232"/>
        <c:axId val="509800480"/>
      </c:barChart>
      <c:catAx>
        <c:axId val="50974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50">
                <a:latin typeface="NeueHaasGroteskDisp Pro" panose="020B0504020202020204" pitchFamily="34" charset="77"/>
              </a:defRPr>
            </a:pPr>
            <a:endParaRPr lang="en-PT"/>
          </a:p>
        </c:txPr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393787923562319E-3"/>
          <c:y val="0"/>
          <c:w val="0.90471516063263135"/>
          <c:h val="0.97661122852560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'Base de Cálculo'!$B$46</c:f>
              <c:strCache>
                <c:ptCount val="1"/>
                <c:pt idx="0">
                  <c:v>2025</c:v>
                </c:pt>
              </c:strCache>
            </c:strRef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Cálculo'!$C$45:$N$45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'Base de Cálculo'!$C$46:$N$46</c:f>
              <c:numCache>
                <c:formatCode>General</c:formatCode>
                <c:ptCount val="12"/>
                <c:pt idx="0">
                  <c:v>17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5</c:v>
                </c:pt>
                <c:pt idx="6">
                  <c:v>11</c:v>
                </c:pt>
                <c:pt idx="7">
                  <c:v>3</c:v>
                </c:pt>
                <c:pt idx="8">
                  <c:v>10</c:v>
                </c:pt>
                <c:pt idx="9">
                  <c:v>7</c:v>
                </c:pt>
                <c:pt idx="10">
                  <c:v>8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A9-0044-93CB-DBB6B6F5C8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100"/>
        <c:axId val="509745232"/>
        <c:axId val="509800480"/>
      </c:barChart>
      <c:catAx>
        <c:axId val="5097452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0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'Base de Cálculo'!$B$44</c:f>
              <c:strCache>
                <c:ptCount val="1"/>
                <c:pt idx="0">
                  <c:v>2024</c:v>
                </c:pt>
              </c:strCache>
            </c:strRef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</c:spPr>
          <c:invertIfNegative val="0"/>
          <c:dLbls>
            <c:delete val="1"/>
          </c:dLbls>
          <c:cat>
            <c:strRef>
              <c:f>'Base de Cálculo'!$C$43:$N$43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'Base de Cálculo'!$C$44:$N$44</c:f>
              <c:numCache>
                <c:formatCode>General</c:formatCode>
                <c:ptCount val="12"/>
                <c:pt idx="0">
                  <c:v>13</c:v>
                </c:pt>
                <c:pt idx="1">
                  <c:v>6</c:v>
                </c:pt>
                <c:pt idx="2">
                  <c:v>8</c:v>
                </c:pt>
                <c:pt idx="3">
                  <c:v>8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9</c:v>
                </c:pt>
                <c:pt idx="8">
                  <c:v>5</c:v>
                </c:pt>
                <c:pt idx="9">
                  <c:v>6</c:v>
                </c:pt>
                <c:pt idx="10">
                  <c:v>5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A9-0044-93CB-DBB6B6F5C8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46"/>
        <c:axId val="509745232"/>
        <c:axId val="509800480"/>
      </c:barChart>
      <c:catAx>
        <c:axId val="5097452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0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Cálculo'!$K$9:$M$9</c:f>
              <c:strCache>
                <c:ptCount val="3"/>
                <c:pt idx="0">
                  <c:v>Orçamento</c:v>
                </c:pt>
                <c:pt idx="1">
                  <c:v>Estratégia</c:v>
                </c:pt>
                <c:pt idx="2">
                  <c:v>Criatividade</c:v>
                </c:pt>
              </c:strCache>
            </c:strRef>
          </c:cat>
          <c:val>
            <c:numRef>
              <c:f>'Base de Cálculo'!$K$10:$M$10</c:f>
              <c:numCache>
                <c:formatCode>General</c:formatCode>
                <c:ptCount val="3"/>
                <c:pt idx="0">
                  <c:v>57</c:v>
                </c:pt>
                <c:pt idx="1">
                  <c:v>5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2-534E-B0B2-3713F4828BC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-27"/>
        <c:axId val="509745232"/>
        <c:axId val="509800480"/>
      </c:barChart>
      <c:catAx>
        <c:axId val="50974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50">
                <a:latin typeface="NeueHaasGroteskDisp Pro" panose="020B0504020202020204" pitchFamily="34" charset="77"/>
              </a:defRPr>
            </a:pPr>
            <a:endParaRPr lang="en-PT"/>
          </a:p>
        </c:txPr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dPt>
            <c:idx val="1"/>
            <c:bubble3D val="0"/>
            <c:spPr>
              <a:solidFill>
                <a:srgbClr val="C3C4C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46-AA42-8CC0-272193F1569D}"/>
              </c:ext>
            </c:extLst>
          </c:dPt>
          <c:dLbls>
            <c:dLbl>
              <c:idx val="0"/>
              <c:layout>
                <c:manualLayout>
                  <c:x val="-1.0075566750629723E-2"/>
                  <c:y val="-4.1493775933609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46-AA42-8CC0-272193F156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'Base de Cálculo'!$N$9:$O$9</c:f>
              <c:strCache>
                <c:ptCount val="2"/>
                <c:pt idx="0">
                  <c:v>Projeto</c:v>
                </c:pt>
                <c:pt idx="1">
                  <c:v>Fee</c:v>
                </c:pt>
              </c:strCache>
            </c:strRef>
          </c:cat>
          <c:val>
            <c:numRef>
              <c:f>'Base de Cálculo'!$N$10:$O$10</c:f>
              <c:numCache>
                <c:formatCode>General</c:formatCode>
                <c:ptCount val="2"/>
                <c:pt idx="0">
                  <c:v>52</c:v>
                </c:pt>
                <c:pt idx="1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46-AA42-8CC0-272193F15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2"/>
      </c:doughnutChart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0.58083584562999757"/>
          <c:y val="3.1096832630091994E-2"/>
          <c:w val="0.22619545840492877"/>
          <c:h val="0.11910484873601326"/>
        </c:manualLayout>
      </c:layout>
      <c:overlay val="0"/>
      <c:txPr>
        <a:bodyPr/>
        <a:lstStyle/>
        <a:p>
          <a:pPr>
            <a:defRPr sz="1100"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1"/>
          <c:order val="0"/>
          <c:tx>
            <c:strRef>
              <c:f>'Base de Cálculo'!$R$9</c:f>
              <c:strCache>
                <c:ptCount val="1"/>
                <c:pt idx="0">
                  <c:v>&gt;120K</c:v>
                </c:pt>
              </c:strCache>
            </c:strRef>
          </c:tx>
          <c:spPr>
            <a:solidFill>
              <a:srgbClr val="6B6E7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'Base de Cálculo'!$R$10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64-9041-BDE5-0206DAD54413}"/>
            </c:ext>
          </c:extLst>
        </c:ser>
        <c:ser>
          <c:idx val="2"/>
          <c:order val="1"/>
          <c:tx>
            <c:strRef>
              <c:f>'Base de Cálculo'!$S$9</c:f>
              <c:strCache>
                <c:ptCount val="1"/>
                <c:pt idx="0">
                  <c:v>120K-40k</c:v>
                </c:pt>
              </c:strCache>
            </c:strRef>
          </c:tx>
          <c:spPr>
            <a:solidFill>
              <a:srgbClr val="788089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'Base de Cálculo'!$S$10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64-9041-BDE5-0206DAD54413}"/>
            </c:ext>
          </c:extLst>
        </c:ser>
        <c:ser>
          <c:idx val="0"/>
          <c:order val="2"/>
          <c:tx>
            <c:strRef>
              <c:f>'Base de Cálculo'!$T$9</c:f>
              <c:strCache>
                <c:ptCount val="1"/>
                <c:pt idx="0">
                  <c:v>&lt;40K</c:v>
                </c:pt>
              </c:strCache>
            </c:strRef>
          </c:tx>
          <c:spPr>
            <a:solidFill>
              <a:srgbClr val="C3C4C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'Base de Cálculo'!$T$10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64-9041-BDE5-0206DAD5441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100"/>
        <c:axId val="509745232"/>
        <c:axId val="509800480"/>
      </c:barChart>
      <c:catAx>
        <c:axId val="5097452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legend>
      <c:legendPos val="t"/>
      <c:layout>
        <c:manualLayout>
          <c:xMode val="edge"/>
          <c:yMode val="edge"/>
          <c:x val="0.80041666146723733"/>
          <c:y val="2.9556650246305417E-2"/>
          <c:w val="0.19958342903931675"/>
          <c:h val="9.000850335135542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738366685192811E-2"/>
          <c:y val="0.13233292953765394"/>
          <c:w val="0.70668956997267152"/>
          <c:h val="0.82577192274042666"/>
        </c:manualLayout>
      </c:layout>
      <c:doughnutChart>
        <c:varyColors val="1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dPt>
            <c:idx val="0"/>
            <c:bubble3D val="0"/>
            <c:spPr>
              <a:solidFill>
                <a:srgbClr val="FC4E0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CB6-D143-8652-19C1D888F691}"/>
              </c:ext>
            </c:extLst>
          </c:dPt>
          <c:dPt>
            <c:idx val="1"/>
            <c:bubble3D val="0"/>
            <c:spPr>
              <a:solidFill>
                <a:srgbClr val="C3C4C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CB6-D143-8652-19C1D888F691}"/>
              </c:ext>
            </c:extLst>
          </c:dPt>
          <c:dLbls>
            <c:dLbl>
              <c:idx val="0"/>
              <c:layout>
                <c:manualLayout>
                  <c:x val="-1.0075566750629723E-2"/>
                  <c:y val="-4.1493775933609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B6-D143-8652-19C1D888F6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'Base de Cálculo'!$P$9:$Q$9</c:f>
              <c:strCache>
                <c:ptCount val="2"/>
                <c:pt idx="0">
                  <c:v>Cumpre </c:v>
                </c:pt>
                <c:pt idx="1">
                  <c:v>N/Cumpre</c:v>
                </c:pt>
              </c:strCache>
            </c:strRef>
          </c:cat>
          <c:val>
            <c:numRef>
              <c:f>'Base de Cálculo'!$P$10:$Q$10</c:f>
              <c:numCache>
                <c:formatCode>General</c:formatCode>
                <c:ptCount val="2"/>
                <c:pt idx="0">
                  <c:v>35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B6-D143-8652-19C1D888F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2"/>
      </c:doughnutChart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0.66169638049053003"/>
          <c:y val="9.4836799246248063E-2"/>
          <c:w val="0.27008238854796307"/>
          <c:h val="0.11910484873601326"/>
        </c:manualLayout>
      </c:layout>
      <c:overlay val="0"/>
      <c:txPr>
        <a:bodyPr/>
        <a:lstStyle/>
        <a:p>
          <a:pPr>
            <a:defRPr sz="1100"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'Base de Cálculo'!$D$19</c:f>
              <c:strCache>
                <c:ptCount val="1"/>
                <c:pt idx="0">
                  <c:v>Aceites</c:v>
                </c:pt>
              </c:strCache>
            </c:strRef>
          </c:tx>
          <c:spPr>
            <a:solidFill>
              <a:srgbClr val="FC4E0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Cálculo'!$B$21:$B$26</c:f>
              <c:strCache>
                <c:ptCount val="6"/>
                <c:pt idx="0">
                  <c:v>Publicidade</c:v>
                </c:pt>
                <c:pt idx="1">
                  <c:v>Estratégia</c:v>
                </c:pt>
                <c:pt idx="2">
                  <c:v>Social Media</c:v>
                </c:pt>
                <c:pt idx="3">
                  <c:v>Digital</c:v>
                </c:pt>
                <c:pt idx="4">
                  <c:v>Design</c:v>
                </c:pt>
                <c:pt idx="5">
                  <c:v>360</c:v>
                </c:pt>
              </c:strCache>
            </c:strRef>
          </c:cat>
          <c:val>
            <c:numRef>
              <c:f>'Base de Cálculo'!$D$21:$D$26</c:f>
              <c:numCache>
                <c:formatCode>General</c:formatCode>
                <c:ptCount val="6"/>
                <c:pt idx="0">
                  <c:v>7</c:v>
                </c:pt>
                <c:pt idx="1">
                  <c:v>5</c:v>
                </c:pt>
                <c:pt idx="2">
                  <c:v>1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47DA-8D47-B990-306755E92904}"/>
            </c:ext>
          </c:extLst>
        </c:ser>
        <c:ser>
          <c:idx val="2"/>
          <c:order val="1"/>
          <c:tx>
            <c:strRef>
              <c:f>'Base de Cálculo'!$E$9</c:f>
              <c:strCache>
                <c:ptCount val="1"/>
                <c:pt idx="0">
                  <c:v>Recusados</c:v>
                </c:pt>
              </c:strCache>
            </c:strRef>
          </c:tx>
          <c:spPr>
            <a:solidFill>
              <a:srgbClr val="6B6E77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7DA-8D47-B990-306755E929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Cálculo'!$B$21:$B$26</c:f>
              <c:strCache>
                <c:ptCount val="6"/>
                <c:pt idx="0">
                  <c:v>Publicidade</c:v>
                </c:pt>
                <c:pt idx="1">
                  <c:v>Estratégia</c:v>
                </c:pt>
                <c:pt idx="2">
                  <c:v>Social Media</c:v>
                </c:pt>
                <c:pt idx="3">
                  <c:v>Digital</c:v>
                </c:pt>
                <c:pt idx="4">
                  <c:v>Design</c:v>
                </c:pt>
                <c:pt idx="5">
                  <c:v>360</c:v>
                </c:pt>
              </c:strCache>
            </c:strRef>
          </c:cat>
          <c:val>
            <c:numRef>
              <c:f>'Base de Cálculo'!$E$21:$E$26</c:f>
              <c:numCache>
                <c:formatCode>General</c:formatCode>
                <c:ptCount val="6"/>
                <c:pt idx="0">
                  <c:v>29</c:v>
                </c:pt>
                <c:pt idx="1">
                  <c:v>17</c:v>
                </c:pt>
                <c:pt idx="2">
                  <c:v>21</c:v>
                </c:pt>
                <c:pt idx="3">
                  <c:v>16</c:v>
                </c:pt>
                <c:pt idx="4">
                  <c:v>23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7DA-8D47-B990-306755E9290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100"/>
        <c:axId val="509745232"/>
        <c:axId val="509800480"/>
      </c:barChart>
      <c:catAx>
        <c:axId val="50974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50">
                <a:latin typeface="NeueHaasGroteskDisp Pro" panose="020B0504020202020204" pitchFamily="34" charset="77"/>
              </a:defRPr>
            </a:pPr>
            <a:endParaRPr lang="en-PT"/>
          </a:p>
        </c:txPr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1.0345236450706835E-2"/>
          <c:y val="2.8471380981223499E-2"/>
          <c:w val="0.18702318460192477"/>
          <c:h val="0.17382646880678376"/>
        </c:manualLayout>
      </c:layout>
      <c:overlay val="0"/>
      <c:txPr>
        <a:bodyPr/>
        <a:lstStyle/>
        <a:p>
          <a:pPr>
            <a:defRPr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'Base de Cálculo'!$K$19:$M$19</c:f>
              <c:strCache>
                <c:ptCount val="3"/>
                <c:pt idx="0">
                  <c:v>Orçamento</c:v>
                </c:pt>
                <c:pt idx="1">
                  <c:v>Estratégia</c:v>
                </c:pt>
                <c:pt idx="2">
                  <c:v>Criatividade</c:v>
                </c:pt>
              </c:strCache>
            </c:strRef>
          </c:cat>
          <c:val>
            <c:numRef>
              <c:f>'Base de Cálculo'!$K$20:$M$20</c:f>
              <c:numCache>
                <c:formatCode>General</c:formatCode>
                <c:ptCount val="3"/>
                <c:pt idx="0">
                  <c:v>77</c:v>
                </c:pt>
                <c:pt idx="1">
                  <c:v>8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DA-8D47-B990-306755E9290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-27"/>
        <c:axId val="509745232"/>
        <c:axId val="509800480"/>
      </c:barChart>
      <c:catAx>
        <c:axId val="50974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50">
                <a:latin typeface="NeueHaasGroteskDisp Pro" panose="020B0504020202020204" pitchFamily="34" charset="77"/>
              </a:defRPr>
            </a:pPr>
            <a:endParaRPr lang="en-PT"/>
          </a:p>
        </c:txPr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rgbClr val="6B6E77"/>
            </a:solidFill>
            <a:ln>
              <a:noFill/>
            </a:ln>
            <a:effectLst/>
          </c:spPr>
          <c:dPt>
            <c:idx val="1"/>
            <c:bubble3D val="0"/>
            <c:spPr>
              <a:solidFill>
                <a:srgbClr val="C3C4C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B674-5447-9B7D-EC3F8051391B}"/>
              </c:ext>
            </c:extLst>
          </c:dPt>
          <c:dLbls>
            <c:dLbl>
              <c:idx val="0"/>
              <c:layout>
                <c:manualLayout>
                  <c:x val="-1.0075566750629723E-2"/>
                  <c:y val="-4.14937759336099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74-5447-9B7D-EC3F805139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'Base de Cálculo'!$N$19:$O$19</c:f>
              <c:strCache>
                <c:ptCount val="2"/>
                <c:pt idx="0">
                  <c:v>Projeto </c:v>
                </c:pt>
                <c:pt idx="1">
                  <c:v>Fee</c:v>
                </c:pt>
              </c:strCache>
            </c:strRef>
          </c:cat>
          <c:val>
            <c:numRef>
              <c:f>'Base de Cálculo'!$N$20:$O$20</c:f>
              <c:numCache>
                <c:formatCode>General</c:formatCode>
                <c:ptCount val="2"/>
                <c:pt idx="0">
                  <c:v>41</c:v>
                </c:pt>
                <c:pt idx="1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DA-8D47-B990-306755E92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2"/>
      </c:doughnutChart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0.58083584562999757"/>
          <c:y val="3.1096832630091994E-2"/>
          <c:w val="0.22619545840492877"/>
          <c:h val="0.11910484873601326"/>
        </c:manualLayout>
      </c:layout>
      <c:overlay val="0"/>
      <c:txPr>
        <a:bodyPr/>
        <a:lstStyle/>
        <a:p>
          <a:pPr>
            <a:defRPr sz="1100">
              <a:latin typeface="NeueHaasGroteskDisp Pro" panose="020B0504020202020204" pitchFamily="34" charset="77"/>
            </a:defRPr>
          </a:pPr>
          <a:endParaRPr lang="en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1"/>
          <c:order val="0"/>
          <c:tx>
            <c:strRef>
              <c:f>'Base de Cálculo'!$R$19</c:f>
              <c:strCache>
                <c:ptCount val="1"/>
                <c:pt idx="0">
                  <c:v>&gt;120K</c:v>
                </c:pt>
              </c:strCache>
            </c:strRef>
          </c:tx>
          <c:spPr>
            <a:solidFill>
              <a:srgbClr val="6B6E7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'Base de Cálculo'!$R$20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47DA-8D47-B990-306755E92904}"/>
            </c:ext>
          </c:extLst>
        </c:ser>
        <c:ser>
          <c:idx val="2"/>
          <c:order val="1"/>
          <c:tx>
            <c:strRef>
              <c:f>'Base de Cálculo'!$S$19</c:f>
              <c:strCache>
                <c:ptCount val="1"/>
                <c:pt idx="0">
                  <c:v>120K-40k</c:v>
                </c:pt>
              </c:strCache>
            </c:strRef>
          </c:tx>
          <c:spPr>
            <a:solidFill>
              <a:srgbClr val="788089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'Base de Cálculo'!$S$20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7DA-8D47-B990-306755E92904}"/>
            </c:ext>
          </c:extLst>
        </c:ser>
        <c:ser>
          <c:idx val="0"/>
          <c:order val="2"/>
          <c:tx>
            <c:strRef>
              <c:f>'Base de Cálculo'!$T$19</c:f>
              <c:strCache>
                <c:ptCount val="1"/>
                <c:pt idx="0">
                  <c:v>&lt;40K</c:v>
                </c:pt>
              </c:strCache>
            </c:strRef>
          </c:tx>
          <c:spPr>
            <a:solidFill>
              <a:srgbClr val="C3C4C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  <a:latin typeface="NeueHaasGroteskDisp Pro" panose="020B0504020202020204" pitchFamily="34" charset="77"/>
                  </a:defRPr>
                </a:pPr>
                <a:endParaRPr lang="en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'Base de Cálculo'!$T$20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3-3C45-B39F-14A78C8A571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2"/>
        <c:overlap val="100"/>
        <c:axId val="509745232"/>
        <c:axId val="509800480"/>
      </c:barChart>
      <c:catAx>
        <c:axId val="5097452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9800480"/>
        <c:crosses val="autoZero"/>
        <c:auto val="1"/>
        <c:lblAlgn val="ctr"/>
        <c:lblOffset val="100"/>
        <c:noMultiLvlLbl val="0"/>
      </c:catAx>
      <c:valAx>
        <c:axId val="5098004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rgbClr val="6B6E77">
                  <a:alpha val="17112"/>
                </a:srgb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09745232"/>
        <c:crosses val="autoZero"/>
        <c:crossBetween val="between"/>
      </c:valAx>
      <c:spPr>
        <a:noFill/>
        <a:ln w="9525">
          <a:noFill/>
        </a:ln>
      </c:spPr>
    </c:plotArea>
    <c:legend>
      <c:legendPos val="t"/>
      <c:layout>
        <c:manualLayout>
          <c:xMode val="edge"/>
          <c:yMode val="edge"/>
          <c:x val="0.80041666146723733"/>
          <c:y val="2.9556650246305417E-2"/>
          <c:w val="0.19958342903931675"/>
          <c:h val="9.000850335135542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/>
          </a:solidFill>
        </a:defRPr>
      </a:pPr>
      <a:endParaRPr lang="en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image" Target="../media/image2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2.png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image" Target="../media/image2.png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3219450</xdr:colOff>
      <xdr:row>1</xdr:row>
      <xdr:rowOff>66675</xdr:rowOff>
    </xdr:from>
    <xdr:ext cx="1619250" cy="3143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8C55F61A-6283-AE48-9370-691B60FAD1B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668750" y="447675"/>
          <a:ext cx="1619250" cy="3143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126999</xdr:colOff>
      <xdr:row>1</xdr:row>
      <xdr:rowOff>101600</xdr:rowOff>
    </xdr:from>
    <xdr:to>
      <xdr:col>3</xdr:col>
      <xdr:colOff>635000</xdr:colOff>
      <xdr:row>3</xdr:row>
      <xdr:rowOff>160445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6EECB3AB-D50B-1F4C-98A8-66BD79F60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299" y="304800"/>
          <a:ext cx="2336801" cy="4652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126999</xdr:colOff>
      <xdr:row>1</xdr:row>
      <xdr:rowOff>101600</xdr:rowOff>
    </xdr:from>
    <xdr:to>
      <xdr:col>3</xdr:col>
      <xdr:colOff>812800</xdr:colOff>
      <xdr:row>3</xdr:row>
      <xdr:rowOff>160445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38CE2765-8B1E-4D41-9522-CBCD431C6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299" y="304800"/>
          <a:ext cx="2336801" cy="465245"/>
        </a:xfrm>
        <a:prstGeom prst="rect">
          <a:avLst/>
        </a:prstGeom>
      </xdr:spPr>
    </xdr:pic>
    <xdr:clientData/>
  </xdr:twoCellAnchor>
  <xdr:twoCellAnchor>
    <xdr:from>
      <xdr:col>8</xdr:col>
      <xdr:colOff>584200</xdr:colOff>
      <xdr:row>1</xdr:row>
      <xdr:rowOff>63500</xdr:rowOff>
    </xdr:from>
    <xdr:to>
      <xdr:col>10</xdr:col>
      <xdr:colOff>520700</xdr:colOff>
      <xdr:row>2</xdr:row>
      <xdr:rowOff>190500</xdr:rowOff>
    </xdr:to>
    <xdr:sp macro="" textlink="">
      <xdr:nvSpPr>
        <xdr:cNvPr id="3" name="CaixaDeTexto 15">
          <a:extLst>
            <a:ext uri="{FF2B5EF4-FFF2-40B4-BE49-F238E27FC236}">
              <a16:creationId xmlns:a16="http://schemas.microsoft.com/office/drawing/2014/main" id="{D15AA604-B2E5-A745-813A-F7E09BE12235}"/>
            </a:ext>
          </a:extLst>
        </xdr:cNvPr>
        <xdr:cNvSpPr txBox="1"/>
      </xdr:nvSpPr>
      <xdr:spPr>
        <a:xfrm>
          <a:off x="67310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Pedidos 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10</xdr:col>
      <xdr:colOff>698500</xdr:colOff>
      <xdr:row>1</xdr:row>
      <xdr:rowOff>63500</xdr:rowOff>
    </xdr:from>
    <xdr:to>
      <xdr:col>12</xdr:col>
      <xdr:colOff>635000</xdr:colOff>
      <xdr:row>2</xdr:row>
      <xdr:rowOff>190500</xdr:rowOff>
    </xdr:to>
    <xdr:sp macro="" textlink="">
      <xdr:nvSpPr>
        <xdr:cNvPr id="4" name="CaixaDeTexto 17">
          <a:extLst>
            <a:ext uri="{FF2B5EF4-FFF2-40B4-BE49-F238E27FC236}">
              <a16:creationId xmlns:a16="http://schemas.microsoft.com/office/drawing/2014/main" id="{91213784-D847-314D-8EE4-2241A63DC88B}"/>
            </a:ext>
          </a:extLst>
        </xdr:cNvPr>
        <xdr:cNvSpPr txBox="1"/>
      </xdr:nvSpPr>
      <xdr:spPr>
        <a:xfrm>
          <a:off x="84963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Pedidos Aceites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17</xdr:col>
      <xdr:colOff>342900</xdr:colOff>
      <xdr:row>1</xdr:row>
      <xdr:rowOff>63500</xdr:rowOff>
    </xdr:from>
    <xdr:to>
      <xdr:col>19</xdr:col>
      <xdr:colOff>279400</xdr:colOff>
      <xdr:row>2</xdr:row>
      <xdr:rowOff>190500</xdr:rowOff>
    </xdr:to>
    <xdr:sp macro="" textlink="">
      <xdr:nvSpPr>
        <xdr:cNvPr id="5" name="CaixaDeTexto 18">
          <a:extLst>
            <a:ext uri="{FF2B5EF4-FFF2-40B4-BE49-F238E27FC236}">
              <a16:creationId xmlns:a16="http://schemas.microsoft.com/office/drawing/2014/main" id="{0FB350AB-3A98-354C-8D7C-FB8870995BBB}"/>
            </a:ext>
          </a:extLst>
        </xdr:cNvPr>
        <xdr:cNvSpPr txBox="1"/>
      </xdr:nvSpPr>
      <xdr:spPr>
        <a:xfrm>
          <a:off x="139192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Sucesso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19</xdr:col>
      <xdr:colOff>635000</xdr:colOff>
      <xdr:row>1</xdr:row>
      <xdr:rowOff>63500</xdr:rowOff>
    </xdr:from>
    <xdr:to>
      <xdr:col>21</xdr:col>
      <xdr:colOff>114300</xdr:colOff>
      <xdr:row>2</xdr:row>
      <xdr:rowOff>190500</xdr:rowOff>
    </xdr:to>
    <xdr:sp macro="" textlink="">
      <xdr:nvSpPr>
        <xdr:cNvPr id="6" name="CaixaDeTexto 19">
          <a:extLst>
            <a:ext uri="{FF2B5EF4-FFF2-40B4-BE49-F238E27FC236}">
              <a16:creationId xmlns:a16="http://schemas.microsoft.com/office/drawing/2014/main" id="{7B772B8B-2882-074A-8DEE-574142EBB944}"/>
            </a:ext>
          </a:extLst>
        </xdr:cNvPr>
        <xdr:cNvSpPr txBox="1"/>
      </xdr:nvSpPr>
      <xdr:spPr>
        <a:xfrm>
          <a:off x="158623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Rejeição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8</xdr:col>
      <xdr:colOff>558800</xdr:colOff>
      <xdr:row>3</xdr:row>
      <xdr:rowOff>38100</xdr:rowOff>
    </xdr:from>
    <xdr:to>
      <xdr:col>10</xdr:col>
      <xdr:colOff>558800</xdr:colOff>
      <xdr:row>6</xdr:row>
      <xdr:rowOff>88900</xdr:rowOff>
    </xdr:to>
    <xdr:sp macro="" textlink="'Base de Cálculo'!C10">
      <xdr:nvSpPr>
        <xdr:cNvPr id="7" name="CaixaDeTexto 20">
          <a:extLst>
            <a:ext uri="{FF2B5EF4-FFF2-40B4-BE49-F238E27FC236}">
              <a16:creationId xmlns:a16="http://schemas.microsoft.com/office/drawing/2014/main" id="{6BA2AEA9-A690-EF41-A097-61EB66E19C59}"/>
            </a:ext>
          </a:extLst>
        </xdr:cNvPr>
        <xdr:cNvSpPr txBox="1"/>
      </xdr:nvSpPr>
      <xdr:spPr>
        <a:xfrm>
          <a:off x="6705600" y="6477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7B2BDEED-ECEE-9449-9930-9F33AED0CEDD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79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622300</xdr:colOff>
      <xdr:row>3</xdr:row>
      <xdr:rowOff>50800</xdr:rowOff>
    </xdr:from>
    <xdr:to>
      <xdr:col>12</xdr:col>
      <xdr:colOff>622300</xdr:colOff>
      <xdr:row>6</xdr:row>
      <xdr:rowOff>101600</xdr:rowOff>
    </xdr:to>
    <xdr:sp macro="" textlink="'Base de Cálculo'!D10">
      <xdr:nvSpPr>
        <xdr:cNvPr id="8" name="CaixaDeTexto 21">
          <a:extLst>
            <a:ext uri="{FF2B5EF4-FFF2-40B4-BE49-F238E27FC236}">
              <a16:creationId xmlns:a16="http://schemas.microsoft.com/office/drawing/2014/main" id="{0AAEA7C9-EF75-984D-B091-3BC0103647E1}"/>
            </a:ext>
          </a:extLst>
        </xdr:cNvPr>
        <xdr:cNvSpPr txBox="1"/>
      </xdr:nvSpPr>
      <xdr:spPr>
        <a:xfrm>
          <a:off x="84201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EAD0FFC5-AE6D-EE43-8069-36A06DCF27E4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60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292100</xdr:colOff>
      <xdr:row>3</xdr:row>
      <xdr:rowOff>50800</xdr:rowOff>
    </xdr:from>
    <xdr:to>
      <xdr:col>19</xdr:col>
      <xdr:colOff>406400</xdr:colOff>
      <xdr:row>6</xdr:row>
      <xdr:rowOff>101600</xdr:rowOff>
    </xdr:to>
    <xdr:sp macro="" textlink="'Base de Cálculo'!I10">
      <xdr:nvSpPr>
        <xdr:cNvPr id="9" name="CaixaDeTexto 22">
          <a:extLst>
            <a:ext uri="{FF2B5EF4-FFF2-40B4-BE49-F238E27FC236}">
              <a16:creationId xmlns:a16="http://schemas.microsoft.com/office/drawing/2014/main" id="{AA2474A2-48C3-D444-B35B-C6F33F1A0E9F}"/>
            </a:ext>
          </a:extLst>
        </xdr:cNvPr>
        <xdr:cNvSpPr txBox="1"/>
      </xdr:nvSpPr>
      <xdr:spPr>
        <a:xfrm>
          <a:off x="13868400" y="660400"/>
          <a:ext cx="17653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F428C385-D3C5-444D-9F13-4E8402250D2E}" type="TxLink">
            <a:rPr lang="en-US" sz="5400" b="0" i="0" u="none" strike="noStrike" kern="1200">
              <a:solidFill>
                <a:srgbClr val="FC4E02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28%</a:t>
          </a:fld>
          <a:endParaRPr lang="en-US" sz="5400" b="0" i="0" u="none" strike="noStrike" kern="1200">
            <a:solidFill>
              <a:srgbClr val="FC4E02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571500</xdr:colOff>
      <xdr:row>3</xdr:row>
      <xdr:rowOff>50800</xdr:rowOff>
    </xdr:from>
    <xdr:to>
      <xdr:col>21</xdr:col>
      <xdr:colOff>114300</xdr:colOff>
      <xdr:row>6</xdr:row>
      <xdr:rowOff>101600</xdr:rowOff>
    </xdr:to>
    <xdr:sp macro="" textlink="'Base de Cálculo'!J10">
      <xdr:nvSpPr>
        <xdr:cNvPr id="10" name="CaixaDeTexto 23">
          <a:extLst>
            <a:ext uri="{FF2B5EF4-FFF2-40B4-BE49-F238E27FC236}">
              <a16:creationId xmlns:a16="http://schemas.microsoft.com/office/drawing/2014/main" id="{D990F6E5-1B89-144F-A03A-C411E085F7D0}"/>
            </a:ext>
          </a:extLst>
        </xdr:cNvPr>
        <xdr:cNvSpPr txBox="1"/>
      </xdr:nvSpPr>
      <xdr:spPr>
        <a:xfrm>
          <a:off x="157988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C809170A-B07D-7B4F-BA58-F1FD99088CCA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24%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12700</xdr:colOff>
      <xdr:row>1</xdr:row>
      <xdr:rowOff>63500</xdr:rowOff>
    </xdr:from>
    <xdr:to>
      <xdr:col>14</xdr:col>
      <xdr:colOff>774700</xdr:colOff>
      <xdr:row>2</xdr:row>
      <xdr:rowOff>190500</xdr:rowOff>
    </xdr:to>
    <xdr:sp macro="" textlink="">
      <xdr:nvSpPr>
        <xdr:cNvPr id="11" name="CaixaDeTexto 24">
          <a:extLst>
            <a:ext uri="{FF2B5EF4-FFF2-40B4-BE49-F238E27FC236}">
              <a16:creationId xmlns:a16="http://schemas.microsoft.com/office/drawing/2014/main" id="{22E38EC4-600F-B141-B44F-1B6AFDB43398}"/>
            </a:ext>
          </a:extLst>
        </xdr:cNvPr>
        <xdr:cNvSpPr txBox="1"/>
      </xdr:nvSpPr>
      <xdr:spPr>
        <a:xfrm>
          <a:off x="102870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Clientes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12</xdr:col>
      <xdr:colOff>762000</xdr:colOff>
      <xdr:row>3</xdr:row>
      <xdr:rowOff>50800</xdr:rowOff>
    </xdr:from>
    <xdr:to>
      <xdr:col>14</xdr:col>
      <xdr:colOff>762000</xdr:colOff>
      <xdr:row>6</xdr:row>
      <xdr:rowOff>101600</xdr:rowOff>
    </xdr:to>
    <xdr:sp macro="" textlink="'Base de Cálculo'!G10">
      <xdr:nvSpPr>
        <xdr:cNvPr id="12" name="CaixaDeTexto 25">
          <a:extLst>
            <a:ext uri="{FF2B5EF4-FFF2-40B4-BE49-F238E27FC236}">
              <a16:creationId xmlns:a16="http://schemas.microsoft.com/office/drawing/2014/main" id="{C68B7CB6-780E-3445-B1A0-DAB322214C23}"/>
            </a:ext>
          </a:extLst>
        </xdr:cNvPr>
        <xdr:cNvSpPr txBox="1"/>
      </xdr:nvSpPr>
      <xdr:spPr>
        <a:xfrm>
          <a:off x="102108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AEF0F4C4-E951-2C40-AE25-62BC705B3B2B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17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8</xdr:row>
      <xdr:rowOff>190500</xdr:rowOff>
    </xdr:from>
    <xdr:to>
      <xdr:col>12</xdr:col>
      <xdr:colOff>266700</xdr:colOff>
      <xdr:row>41</xdr:row>
      <xdr:rowOff>190500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86453D2B-64B4-4440-80CA-31DB9F441B64}"/>
            </a:ext>
          </a:extLst>
        </xdr:cNvPr>
        <xdr:cNvGrpSpPr/>
      </xdr:nvGrpSpPr>
      <xdr:grpSpPr>
        <a:xfrm>
          <a:off x="368300" y="1816100"/>
          <a:ext cx="9486900" cy="6705600"/>
          <a:chOff x="368300" y="1816100"/>
          <a:chExt cx="9347200" cy="6705600"/>
        </a:xfrm>
      </xdr:grpSpPr>
      <xdr:sp macro="" textlink="">
        <xdr:nvSpPr>
          <xdr:cNvPr id="14" name="Retângulo Arredondado 1">
            <a:extLst>
              <a:ext uri="{FF2B5EF4-FFF2-40B4-BE49-F238E27FC236}">
                <a16:creationId xmlns:a16="http://schemas.microsoft.com/office/drawing/2014/main" id="{EC5AB817-9607-2AC7-97F3-156D9FD2E149}"/>
              </a:ext>
            </a:extLst>
          </xdr:cNvPr>
          <xdr:cNvSpPr/>
        </xdr:nvSpPr>
        <xdr:spPr>
          <a:xfrm>
            <a:off x="368300" y="1816100"/>
            <a:ext cx="8572500" cy="6705600"/>
          </a:xfrm>
          <a:prstGeom prst="roundRect">
            <a:avLst>
              <a:gd name="adj" fmla="val 3045"/>
            </a:avLst>
          </a:prstGeom>
          <a:solidFill>
            <a:srgbClr val="F9F9F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 kern="1200"/>
          </a:p>
        </xdr:txBody>
      </xdr:sp>
      <xdr:graphicFrame macro="">
        <xdr:nvGraphicFramePr>
          <xdr:cNvPr id="15" name="Chart 14">
            <a:extLst>
              <a:ext uri="{FF2B5EF4-FFF2-40B4-BE49-F238E27FC236}">
                <a16:creationId xmlns:a16="http://schemas.microsoft.com/office/drawing/2014/main" id="{07E7FD8A-3E6E-EB7B-8D98-2D18E5E56248}"/>
              </a:ext>
            </a:extLst>
          </xdr:cNvPr>
          <xdr:cNvGraphicFramePr/>
        </xdr:nvGraphicFramePr>
        <xdr:xfrm>
          <a:off x="685800" y="5638800"/>
          <a:ext cx="8686800" cy="26416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6" name="CaixaDeTexto 15">
            <a:extLst>
              <a:ext uri="{FF2B5EF4-FFF2-40B4-BE49-F238E27FC236}">
                <a16:creationId xmlns:a16="http://schemas.microsoft.com/office/drawing/2014/main" id="{F6A047B6-629C-443C-B44E-2F8BE97367A4}"/>
              </a:ext>
            </a:extLst>
          </xdr:cNvPr>
          <xdr:cNvSpPr txBox="1"/>
        </xdr:nvSpPr>
        <xdr:spPr>
          <a:xfrm>
            <a:off x="596900" y="2108200"/>
            <a:ext cx="20066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Tipologia </a:t>
            </a:r>
            <a:r>
              <a:rPr lang="pt-PT" sz="1600" kern="1200" baseline="0">
                <a:solidFill>
                  <a:schemeClr val="tx1"/>
                </a:solidFill>
                <a:latin typeface="NeueHaasGroteskDisp Pro" panose="020B0504020202020204" pitchFamily="34" charset="77"/>
              </a:rPr>
              <a:t> de Pedidos</a:t>
            </a:r>
            <a:endParaRPr lang="pt-PT" sz="1600" kern="1200">
              <a:solidFill>
                <a:schemeClr val="tx1"/>
              </a:solidFill>
              <a:latin typeface="NeueHaasGroteskDisp Pro" panose="020B0504020202020204" pitchFamily="34" charset="77"/>
            </a:endParaRP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06635D38-3521-EA93-8F87-9332B7C024C9}"/>
              </a:ext>
            </a:extLst>
          </xdr:cNvPr>
          <xdr:cNvGraphicFramePr/>
        </xdr:nvGraphicFramePr>
        <xdr:xfrm>
          <a:off x="596900" y="2692400"/>
          <a:ext cx="3886200" cy="279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18" name="Chart 17">
            <a:extLst>
              <a:ext uri="{FF2B5EF4-FFF2-40B4-BE49-F238E27FC236}">
                <a16:creationId xmlns:a16="http://schemas.microsoft.com/office/drawing/2014/main" id="{0475C472-0863-1906-0583-741DC2656066}"/>
              </a:ext>
            </a:extLst>
          </xdr:cNvPr>
          <xdr:cNvGraphicFramePr/>
        </xdr:nvGraphicFramePr>
        <xdr:xfrm>
          <a:off x="3975732" y="2154458"/>
          <a:ext cx="5739768" cy="34843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11</xdr:col>
      <xdr:colOff>495251</xdr:colOff>
      <xdr:row>26</xdr:row>
      <xdr:rowOff>193846</xdr:rowOff>
    </xdr:from>
    <xdr:to>
      <xdr:col>21</xdr:col>
      <xdr:colOff>482600</xdr:colOff>
      <xdr:row>41</xdr:row>
      <xdr:rowOff>139700</xdr:rowOff>
    </xdr:to>
    <xdr:grpSp>
      <xdr:nvGrpSpPr>
        <xdr:cNvPr id="19" name="Group 18">
          <a:extLst>
            <a:ext uri="{FF2B5EF4-FFF2-40B4-BE49-F238E27FC236}">
              <a16:creationId xmlns:a16="http://schemas.microsoft.com/office/drawing/2014/main" id="{64DB4F51-7622-8B4F-9715-B01C7A4C181F}"/>
            </a:ext>
          </a:extLst>
        </xdr:cNvPr>
        <xdr:cNvGrpSpPr/>
      </xdr:nvGrpSpPr>
      <xdr:grpSpPr>
        <a:xfrm>
          <a:off x="9245551" y="5477046"/>
          <a:ext cx="8813849" cy="2993854"/>
          <a:chOff x="9118551" y="5477046"/>
          <a:chExt cx="8699549" cy="2993854"/>
        </a:xfrm>
      </xdr:grpSpPr>
      <xdr:sp macro="" textlink="">
        <xdr:nvSpPr>
          <xdr:cNvPr id="20" name="Retângulo Arredondado 3">
            <a:extLst>
              <a:ext uri="{FF2B5EF4-FFF2-40B4-BE49-F238E27FC236}">
                <a16:creationId xmlns:a16="http://schemas.microsoft.com/office/drawing/2014/main" id="{D721B3E3-538B-5A05-4A7B-C8B8B7C7FB67}"/>
              </a:ext>
            </a:extLst>
          </xdr:cNvPr>
          <xdr:cNvSpPr/>
        </xdr:nvSpPr>
        <xdr:spPr>
          <a:xfrm>
            <a:off x="9118551" y="5477046"/>
            <a:ext cx="8699549" cy="2993854"/>
          </a:xfrm>
          <a:prstGeom prst="roundRect">
            <a:avLst>
              <a:gd name="adj" fmla="val 7401"/>
            </a:avLst>
          </a:prstGeom>
          <a:solidFill>
            <a:srgbClr val="F9F9F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 kern="1200"/>
          </a:p>
        </xdr:txBody>
      </xdr:sp>
      <xdr:graphicFrame macro="">
        <xdr:nvGraphicFramePr>
          <xdr:cNvPr id="21" name="Chart 20">
            <a:extLst>
              <a:ext uri="{FF2B5EF4-FFF2-40B4-BE49-F238E27FC236}">
                <a16:creationId xmlns:a16="http://schemas.microsoft.com/office/drawing/2014/main" id="{08360581-6E0F-F16A-CA11-79A7004F450A}"/>
              </a:ext>
            </a:extLst>
          </xdr:cNvPr>
          <xdr:cNvGraphicFramePr/>
        </xdr:nvGraphicFramePr>
        <xdr:xfrm>
          <a:off x="9436100" y="5702300"/>
          <a:ext cx="8204200" cy="2578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22" name="CaixaDeTexto 15">
            <a:extLst>
              <a:ext uri="{FF2B5EF4-FFF2-40B4-BE49-F238E27FC236}">
                <a16:creationId xmlns:a16="http://schemas.microsoft.com/office/drawing/2014/main" id="{E2F5F17F-2E06-152D-D641-8E45B6A4F642}"/>
              </a:ext>
            </a:extLst>
          </xdr:cNvPr>
          <xdr:cNvSpPr txBox="1"/>
        </xdr:nvSpPr>
        <xdr:spPr>
          <a:xfrm>
            <a:off x="9448800" y="5651500"/>
            <a:ext cx="21463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Clientes</a:t>
            </a:r>
            <a:r>
              <a:rPr lang="pt-PT" sz="1600" kern="1200" baseline="0">
                <a:solidFill>
                  <a:schemeClr val="tx1"/>
                </a:solidFill>
                <a:latin typeface="NeueHaasGroteskDisp Pro" panose="020B0504020202020204" pitchFamily="34" charset="77"/>
              </a:rPr>
              <a:t> por Faturação</a:t>
            </a:r>
            <a:endParaRPr lang="pt-PT" sz="1600" kern="1200">
              <a:solidFill>
                <a:schemeClr val="tx1"/>
              </a:solidFill>
              <a:latin typeface="NeueHaasGroteskDisp Pro" panose="020B0504020202020204" pitchFamily="34" charset="77"/>
            </a:endParaRP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</xdr:grpSp>
    <xdr:clientData/>
  </xdr:twoCellAnchor>
  <xdr:twoCellAnchor>
    <xdr:from>
      <xdr:col>11</xdr:col>
      <xdr:colOff>507951</xdr:colOff>
      <xdr:row>8</xdr:row>
      <xdr:rowOff>181146</xdr:rowOff>
    </xdr:from>
    <xdr:to>
      <xdr:col>16</xdr:col>
      <xdr:colOff>122345</xdr:colOff>
      <xdr:row>25</xdr:row>
      <xdr:rowOff>152400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8F3D18E0-C622-4B4F-8BA3-F4966AD91DAD}"/>
            </a:ext>
          </a:extLst>
        </xdr:cNvPr>
        <xdr:cNvGrpSpPr/>
      </xdr:nvGrpSpPr>
      <xdr:grpSpPr>
        <a:xfrm>
          <a:off x="9258251" y="1806746"/>
          <a:ext cx="3805394" cy="3425654"/>
          <a:chOff x="9131251" y="1806746"/>
          <a:chExt cx="3741894" cy="3425654"/>
        </a:xfrm>
      </xdr:grpSpPr>
      <xdr:sp macro="" textlink="">
        <xdr:nvSpPr>
          <xdr:cNvPr id="24" name="Retângulo Arredondado 3">
            <a:extLst>
              <a:ext uri="{FF2B5EF4-FFF2-40B4-BE49-F238E27FC236}">
                <a16:creationId xmlns:a16="http://schemas.microsoft.com/office/drawing/2014/main" id="{04FC73C8-2698-9FC5-FD9E-4A4A2ADD9B59}"/>
              </a:ext>
            </a:extLst>
          </xdr:cNvPr>
          <xdr:cNvSpPr/>
        </xdr:nvSpPr>
        <xdr:spPr>
          <a:xfrm>
            <a:off x="9131251" y="1806746"/>
            <a:ext cx="3721149" cy="3425654"/>
          </a:xfrm>
          <a:prstGeom prst="roundRect">
            <a:avLst>
              <a:gd name="adj" fmla="val 7401"/>
            </a:avLst>
          </a:prstGeom>
          <a:solidFill>
            <a:srgbClr val="F9F9F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 kern="1200"/>
          </a:p>
        </xdr:txBody>
      </xdr:sp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5EBBF5BE-1465-83A5-3AF3-8C4A2BC1AC12}"/>
              </a:ext>
            </a:extLst>
          </xdr:cNvPr>
          <xdr:cNvGraphicFramePr/>
        </xdr:nvGraphicFramePr>
        <xdr:xfrm>
          <a:off x="9400575" y="2184400"/>
          <a:ext cx="3472570" cy="2971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26" name="CaixaDeTexto 15">
            <a:extLst>
              <a:ext uri="{FF2B5EF4-FFF2-40B4-BE49-F238E27FC236}">
                <a16:creationId xmlns:a16="http://schemas.microsoft.com/office/drawing/2014/main" id="{221226F1-316F-273E-1A03-ADAC7300592C}"/>
              </a:ext>
            </a:extLst>
          </xdr:cNvPr>
          <xdr:cNvSpPr txBox="1"/>
        </xdr:nvSpPr>
        <xdr:spPr>
          <a:xfrm>
            <a:off x="9283700" y="1968500"/>
            <a:ext cx="23114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Critérios de Seleção </a:t>
            </a: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</xdr:grpSp>
    <xdr:clientData/>
  </xdr:twoCellAnchor>
  <xdr:twoCellAnchor>
    <xdr:from>
      <xdr:col>16</xdr:col>
      <xdr:colOff>304800</xdr:colOff>
      <xdr:row>9</xdr:row>
      <xdr:rowOff>49230</xdr:rowOff>
    </xdr:from>
    <xdr:to>
      <xdr:col>21</xdr:col>
      <xdr:colOff>469900</xdr:colOff>
      <xdr:row>17</xdr:row>
      <xdr:rowOff>0</xdr:rowOff>
    </xdr:to>
    <xdr:sp macro="" textlink="">
      <xdr:nvSpPr>
        <xdr:cNvPr id="27" name="Retângulo Arredondado 7">
          <a:extLst>
            <a:ext uri="{FF2B5EF4-FFF2-40B4-BE49-F238E27FC236}">
              <a16:creationId xmlns:a16="http://schemas.microsoft.com/office/drawing/2014/main" id="{6DB8D797-901C-4343-A747-47AD7B868362}"/>
            </a:ext>
          </a:extLst>
        </xdr:cNvPr>
        <xdr:cNvSpPr/>
      </xdr:nvSpPr>
      <xdr:spPr>
        <a:xfrm>
          <a:off x="13055600" y="1878030"/>
          <a:ext cx="4749800" cy="1576370"/>
        </a:xfrm>
        <a:prstGeom prst="roundRect">
          <a:avLst>
            <a:gd name="adj" fmla="val 13846"/>
          </a:avLst>
        </a:prstGeom>
        <a:solidFill>
          <a:srgbClr val="FC4E0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 kern="1200">
            <a:solidFill>
              <a:srgbClr val="FC4E02"/>
            </a:solidFill>
          </a:endParaRPr>
        </a:p>
      </xdr:txBody>
    </xdr:sp>
    <xdr:clientData/>
  </xdr:twoCellAnchor>
  <xdr:twoCellAnchor>
    <xdr:from>
      <xdr:col>16</xdr:col>
      <xdr:colOff>508000</xdr:colOff>
      <xdr:row>10</xdr:row>
      <xdr:rowOff>12700</xdr:rowOff>
    </xdr:from>
    <xdr:to>
      <xdr:col>18</xdr:col>
      <xdr:colOff>762000</xdr:colOff>
      <xdr:row>11</xdr:row>
      <xdr:rowOff>139700</xdr:rowOff>
    </xdr:to>
    <xdr:sp macro="" textlink="">
      <xdr:nvSpPr>
        <xdr:cNvPr id="28" name="CaixaDeTexto 15">
          <a:extLst>
            <a:ext uri="{FF2B5EF4-FFF2-40B4-BE49-F238E27FC236}">
              <a16:creationId xmlns:a16="http://schemas.microsoft.com/office/drawing/2014/main" id="{F013BBF9-8A4B-6244-9B31-043CD9F619EF}"/>
            </a:ext>
          </a:extLst>
        </xdr:cNvPr>
        <xdr:cNvSpPr txBox="1"/>
      </xdr:nvSpPr>
      <xdr:spPr>
        <a:xfrm>
          <a:off x="13258800" y="2044700"/>
          <a:ext cx="19050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PT" sz="1600" kern="1200">
              <a:solidFill>
                <a:schemeClr val="bg1"/>
              </a:solidFill>
              <a:latin typeface="NeueHaasGroteskDisp Pro" panose="020B0504020202020204" pitchFamily="34" charset="77"/>
            </a:rPr>
            <a:t>Total Orçamentado</a:t>
          </a:r>
        </a:p>
        <a:p>
          <a:pPr algn="l"/>
          <a:endParaRPr lang="pt-PT" sz="1600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114300</xdr:colOff>
      <xdr:row>12</xdr:row>
      <xdr:rowOff>25400</xdr:rowOff>
    </xdr:from>
    <xdr:to>
      <xdr:col>21</xdr:col>
      <xdr:colOff>228600</xdr:colOff>
      <xdr:row>15</xdr:row>
      <xdr:rowOff>76200</xdr:rowOff>
    </xdr:to>
    <xdr:sp macro="" textlink="'Base de Cálculo'!U10">
      <xdr:nvSpPr>
        <xdr:cNvPr id="29" name="CaixaDeTexto 25">
          <a:extLst>
            <a:ext uri="{FF2B5EF4-FFF2-40B4-BE49-F238E27FC236}">
              <a16:creationId xmlns:a16="http://schemas.microsoft.com/office/drawing/2014/main" id="{54023F80-E4EB-6B4A-81D7-9CA2BB85A5B1}"/>
            </a:ext>
          </a:extLst>
        </xdr:cNvPr>
        <xdr:cNvSpPr txBox="1"/>
      </xdr:nvSpPr>
      <xdr:spPr>
        <a:xfrm>
          <a:off x="13690600" y="2463800"/>
          <a:ext cx="38735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fld id="{DBAE5B63-2D26-F143-89EB-F9189F6C49EA}" type="TxLink">
            <a:rPr lang="en-US" sz="5400" b="0" i="0" u="none" strike="noStrike" kern="1200">
              <a:solidFill>
                <a:schemeClr val="bg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r"/>
            <a:t> 569 630  € </a:t>
          </a:fld>
          <a:endParaRPr lang="en-US" sz="28700" b="0" i="0" u="none" strike="noStrike" kern="1200">
            <a:solidFill>
              <a:schemeClr val="bg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304800</xdr:colOff>
      <xdr:row>18</xdr:row>
      <xdr:rowOff>0</xdr:rowOff>
    </xdr:from>
    <xdr:to>
      <xdr:col>21</xdr:col>
      <xdr:colOff>469900</xdr:colOff>
      <xdr:row>25</xdr:row>
      <xdr:rowOff>153970</xdr:rowOff>
    </xdr:to>
    <xdr:sp macro="" textlink="">
      <xdr:nvSpPr>
        <xdr:cNvPr id="30" name="Retângulo Arredondado 7">
          <a:extLst>
            <a:ext uri="{FF2B5EF4-FFF2-40B4-BE49-F238E27FC236}">
              <a16:creationId xmlns:a16="http://schemas.microsoft.com/office/drawing/2014/main" id="{781EB97A-019B-8A47-9902-39AE3DD057B9}"/>
            </a:ext>
          </a:extLst>
        </xdr:cNvPr>
        <xdr:cNvSpPr/>
      </xdr:nvSpPr>
      <xdr:spPr>
        <a:xfrm>
          <a:off x="13055600" y="3657600"/>
          <a:ext cx="4749800" cy="1576370"/>
        </a:xfrm>
        <a:prstGeom prst="roundRect">
          <a:avLst>
            <a:gd name="adj" fmla="val 13846"/>
          </a:avLst>
        </a:prstGeom>
        <a:solidFill>
          <a:srgbClr val="6B6E77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 kern="1200">
            <a:solidFill>
              <a:srgbClr val="FC4E02"/>
            </a:solidFill>
          </a:endParaRPr>
        </a:p>
      </xdr:txBody>
    </xdr:sp>
    <xdr:clientData/>
  </xdr:twoCellAnchor>
  <xdr:twoCellAnchor>
    <xdr:from>
      <xdr:col>16</xdr:col>
      <xdr:colOff>508000</xdr:colOff>
      <xdr:row>18</xdr:row>
      <xdr:rowOff>152400</xdr:rowOff>
    </xdr:from>
    <xdr:to>
      <xdr:col>19</xdr:col>
      <xdr:colOff>63500</xdr:colOff>
      <xdr:row>20</xdr:row>
      <xdr:rowOff>76200</xdr:rowOff>
    </xdr:to>
    <xdr:sp macro="" textlink="">
      <xdr:nvSpPr>
        <xdr:cNvPr id="31" name="CaixaDeTexto 15">
          <a:extLst>
            <a:ext uri="{FF2B5EF4-FFF2-40B4-BE49-F238E27FC236}">
              <a16:creationId xmlns:a16="http://schemas.microsoft.com/office/drawing/2014/main" id="{A3BECDC5-14BB-8B4A-B236-5EC0C5775323}"/>
            </a:ext>
          </a:extLst>
        </xdr:cNvPr>
        <xdr:cNvSpPr txBox="1"/>
      </xdr:nvSpPr>
      <xdr:spPr>
        <a:xfrm>
          <a:off x="13258800" y="3810000"/>
          <a:ext cx="20320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PT" sz="1600" kern="1200">
              <a:solidFill>
                <a:schemeClr val="bg1"/>
              </a:solidFill>
              <a:latin typeface="NeueHaasGroteskDisp Pro" panose="020B0504020202020204" pitchFamily="34" charset="77"/>
            </a:rPr>
            <a:t>Média de Orçamento</a:t>
          </a:r>
        </a:p>
        <a:p>
          <a:pPr algn="l"/>
          <a:endParaRPr lang="pt-PT" sz="1600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266700</xdr:colOff>
      <xdr:row>20</xdr:row>
      <xdr:rowOff>152400</xdr:rowOff>
    </xdr:from>
    <xdr:to>
      <xdr:col>21</xdr:col>
      <xdr:colOff>228600</xdr:colOff>
      <xdr:row>24</xdr:row>
      <xdr:rowOff>0</xdr:rowOff>
    </xdr:to>
    <xdr:sp macro="" textlink="'Base de Cálculo'!V10">
      <xdr:nvSpPr>
        <xdr:cNvPr id="32" name="CaixaDeTexto 25">
          <a:extLst>
            <a:ext uri="{FF2B5EF4-FFF2-40B4-BE49-F238E27FC236}">
              <a16:creationId xmlns:a16="http://schemas.microsoft.com/office/drawing/2014/main" id="{ADE87485-2C94-3A41-ABE0-E8C5C12A8C64}"/>
            </a:ext>
          </a:extLst>
        </xdr:cNvPr>
        <xdr:cNvSpPr txBox="1"/>
      </xdr:nvSpPr>
      <xdr:spPr>
        <a:xfrm>
          <a:off x="13843000" y="4216400"/>
          <a:ext cx="37211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fld id="{22E5C97C-0302-CD46-B81E-4EC2C458279B}" type="TxLink">
            <a:rPr lang="en-US" sz="5400" b="0" i="0" u="none" strike="noStrike" kern="1200">
              <a:solidFill>
                <a:schemeClr val="bg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r"/>
            <a:t> 33 508  € </a:t>
          </a:fld>
          <a:endParaRPr lang="en-US" sz="5400" b="0" i="0" u="none" strike="noStrike" kern="1200">
            <a:solidFill>
              <a:schemeClr val="bg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63500</xdr:colOff>
      <xdr:row>1</xdr:row>
      <xdr:rowOff>63500</xdr:rowOff>
    </xdr:from>
    <xdr:to>
      <xdr:col>17</xdr:col>
      <xdr:colOff>0</xdr:colOff>
      <xdr:row>2</xdr:row>
      <xdr:rowOff>190500</xdr:rowOff>
    </xdr:to>
    <xdr:sp macro="" textlink="">
      <xdr:nvSpPr>
        <xdr:cNvPr id="33" name="CaixaDeTexto 24">
          <a:extLst>
            <a:ext uri="{FF2B5EF4-FFF2-40B4-BE49-F238E27FC236}">
              <a16:creationId xmlns:a16="http://schemas.microsoft.com/office/drawing/2014/main" id="{8C1EED3E-8A58-CA4F-BAA8-B6EF4889F9C9}"/>
            </a:ext>
          </a:extLst>
        </xdr:cNvPr>
        <xdr:cNvSpPr txBox="1"/>
      </xdr:nvSpPr>
      <xdr:spPr>
        <a:xfrm>
          <a:off x="119888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Pendentes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14</xdr:col>
      <xdr:colOff>812800</xdr:colOff>
      <xdr:row>3</xdr:row>
      <xdr:rowOff>50800</xdr:rowOff>
    </xdr:from>
    <xdr:to>
      <xdr:col>16</xdr:col>
      <xdr:colOff>812800</xdr:colOff>
      <xdr:row>6</xdr:row>
      <xdr:rowOff>101600</xdr:rowOff>
    </xdr:to>
    <xdr:sp macro="" textlink="'Base de Cálculo'!F10">
      <xdr:nvSpPr>
        <xdr:cNvPr id="34" name="CaixaDeTexto 25">
          <a:extLst>
            <a:ext uri="{FF2B5EF4-FFF2-40B4-BE49-F238E27FC236}">
              <a16:creationId xmlns:a16="http://schemas.microsoft.com/office/drawing/2014/main" id="{D1AA8820-6CC9-7C40-BAE3-3F3527723611}"/>
            </a:ext>
          </a:extLst>
        </xdr:cNvPr>
        <xdr:cNvSpPr txBox="1"/>
      </xdr:nvSpPr>
      <xdr:spPr>
        <a:xfrm>
          <a:off x="119126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C2595DD5-DA89-2F4B-9F3E-150A2D776075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0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126999</xdr:colOff>
      <xdr:row>1</xdr:row>
      <xdr:rowOff>101600</xdr:rowOff>
    </xdr:from>
    <xdr:to>
      <xdr:col>3</xdr:col>
      <xdr:colOff>812800</xdr:colOff>
      <xdr:row>3</xdr:row>
      <xdr:rowOff>160445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AE36A484-ACD1-3761-61AD-3C936C25C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299" y="304800"/>
          <a:ext cx="2336801" cy="465245"/>
        </a:xfrm>
        <a:prstGeom prst="rect">
          <a:avLst/>
        </a:prstGeom>
      </xdr:spPr>
    </xdr:pic>
    <xdr:clientData/>
  </xdr:twoCellAnchor>
  <xdr:twoCellAnchor>
    <xdr:from>
      <xdr:col>8</xdr:col>
      <xdr:colOff>584200</xdr:colOff>
      <xdr:row>1</xdr:row>
      <xdr:rowOff>63500</xdr:rowOff>
    </xdr:from>
    <xdr:to>
      <xdr:col>10</xdr:col>
      <xdr:colOff>520700</xdr:colOff>
      <xdr:row>2</xdr:row>
      <xdr:rowOff>190500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7A950F60-2D98-BB4D-830C-11B781F36EC0}"/>
            </a:ext>
          </a:extLst>
        </xdr:cNvPr>
        <xdr:cNvSpPr txBox="1"/>
      </xdr:nvSpPr>
      <xdr:spPr>
        <a:xfrm>
          <a:off x="67310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Pedidos 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10</xdr:col>
      <xdr:colOff>698500</xdr:colOff>
      <xdr:row>1</xdr:row>
      <xdr:rowOff>63500</xdr:rowOff>
    </xdr:from>
    <xdr:to>
      <xdr:col>12</xdr:col>
      <xdr:colOff>635000</xdr:colOff>
      <xdr:row>2</xdr:row>
      <xdr:rowOff>190500</xdr:rowOff>
    </xdr:to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14449F8E-E027-B97F-BC7C-D21ABCADD17E}"/>
            </a:ext>
          </a:extLst>
        </xdr:cNvPr>
        <xdr:cNvSpPr txBox="1"/>
      </xdr:nvSpPr>
      <xdr:spPr>
        <a:xfrm>
          <a:off x="84963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Pedidos Aceites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17</xdr:col>
      <xdr:colOff>342900</xdr:colOff>
      <xdr:row>1</xdr:row>
      <xdr:rowOff>63500</xdr:rowOff>
    </xdr:from>
    <xdr:to>
      <xdr:col>19</xdr:col>
      <xdr:colOff>279400</xdr:colOff>
      <xdr:row>2</xdr:row>
      <xdr:rowOff>190500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A91ECDF1-A45E-8131-D4D3-FF97261EE8FC}"/>
            </a:ext>
          </a:extLst>
        </xdr:cNvPr>
        <xdr:cNvSpPr txBox="1"/>
      </xdr:nvSpPr>
      <xdr:spPr>
        <a:xfrm>
          <a:off x="139192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Sucesso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19</xdr:col>
      <xdr:colOff>635000</xdr:colOff>
      <xdr:row>1</xdr:row>
      <xdr:rowOff>63500</xdr:rowOff>
    </xdr:from>
    <xdr:to>
      <xdr:col>21</xdr:col>
      <xdr:colOff>114300</xdr:colOff>
      <xdr:row>2</xdr:row>
      <xdr:rowOff>190500</xdr:rowOff>
    </xdr:to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34486178-99EC-58BE-06A2-343F896CBF68}"/>
            </a:ext>
          </a:extLst>
        </xdr:cNvPr>
        <xdr:cNvSpPr txBox="1"/>
      </xdr:nvSpPr>
      <xdr:spPr>
        <a:xfrm>
          <a:off x="158623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Rejeição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8</xdr:col>
      <xdr:colOff>558800</xdr:colOff>
      <xdr:row>3</xdr:row>
      <xdr:rowOff>38100</xdr:rowOff>
    </xdr:from>
    <xdr:to>
      <xdr:col>10</xdr:col>
      <xdr:colOff>558800</xdr:colOff>
      <xdr:row>6</xdr:row>
      <xdr:rowOff>88900</xdr:rowOff>
    </xdr:to>
    <xdr:sp macro="" textlink="'Base de Cálculo'!C20">
      <xdr:nvSpPr>
        <xdr:cNvPr id="21" name="CaixaDeTexto 20">
          <a:extLst>
            <a:ext uri="{FF2B5EF4-FFF2-40B4-BE49-F238E27FC236}">
              <a16:creationId xmlns:a16="http://schemas.microsoft.com/office/drawing/2014/main" id="{24054031-3E8C-6E43-AE7B-8FDF4D9D4957}"/>
            </a:ext>
          </a:extLst>
        </xdr:cNvPr>
        <xdr:cNvSpPr txBox="1"/>
      </xdr:nvSpPr>
      <xdr:spPr>
        <a:xfrm>
          <a:off x="6705600" y="6477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33B6D572-9139-4545-95D7-0E1F71EC3AFB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105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622300</xdr:colOff>
      <xdr:row>3</xdr:row>
      <xdr:rowOff>50800</xdr:rowOff>
    </xdr:from>
    <xdr:to>
      <xdr:col>12</xdr:col>
      <xdr:colOff>622300</xdr:colOff>
      <xdr:row>6</xdr:row>
      <xdr:rowOff>101600</xdr:rowOff>
    </xdr:to>
    <xdr:sp macro="" textlink="'Base de Cálculo'!D20">
      <xdr:nvSpPr>
        <xdr:cNvPr id="22" name="CaixaDeTexto 21">
          <a:extLst>
            <a:ext uri="{FF2B5EF4-FFF2-40B4-BE49-F238E27FC236}">
              <a16:creationId xmlns:a16="http://schemas.microsoft.com/office/drawing/2014/main" id="{A39A1739-7A07-63AE-7264-3509AE250091}"/>
            </a:ext>
          </a:extLst>
        </xdr:cNvPr>
        <xdr:cNvSpPr txBox="1"/>
      </xdr:nvSpPr>
      <xdr:spPr>
        <a:xfrm>
          <a:off x="84201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C04AD05E-0E3B-6548-9780-2B2CE2AB5DD2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20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292100</xdr:colOff>
      <xdr:row>3</xdr:row>
      <xdr:rowOff>50800</xdr:rowOff>
    </xdr:from>
    <xdr:to>
      <xdr:col>19</xdr:col>
      <xdr:colOff>406400</xdr:colOff>
      <xdr:row>6</xdr:row>
      <xdr:rowOff>101600</xdr:rowOff>
    </xdr:to>
    <xdr:sp macro="" textlink="'Base de Cálculo'!I20">
      <xdr:nvSpPr>
        <xdr:cNvPr id="23" name="CaixaDeTexto 22">
          <a:extLst>
            <a:ext uri="{FF2B5EF4-FFF2-40B4-BE49-F238E27FC236}">
              <a16:creationId xmlns:a16="http://schemas.microsoft.com/office/drawing/2014/main" id="{E28754AC-D5D4-4E74-8993-2787B2E436CD}"/>
            </a:ext>
          </a:extLst>
        </xdr:cNvPr>
        <xdr:cNvSpPr txBox="1"/>
      </xdr:nvSpPr>
      <xdr:spPr>
        <a:xfrm>
          <a:off x="13868400" y="660400"/>
          <a:ext cx="17653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1BAF4853-09E2-084A-BCF6-1E28B58DCEBE}" type="TxLink">
            <a:rPr lang="en-US" sz="5400" b="0" i="0" u="none" strike="noStrike" kern="1200">
              <a:solidFill>
                <a:srgbClr val="FC4E02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35%</a:t>
          </a:fld>
          <a:endParaRPr lang="en-US" sz="5400" b="0" i="0" u="none" strike="noStrike" kern="1200">
            <a:solidFill>
              <a:srgbClr val="FC4E02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571500</xdr:colOff>
      <xdr:row>3</xdr:row>
      <xdr:rowOff>50800</xdr:rowOff>
    </xdr:from>
    <xdr:to>
      <xdr:col>21</xdr:col>
      <xdr:colOff>114300</xdr:colOff>
      <xdr:row>6</xdr:row>
      <xdr:rowOff>101600</xdr:rowOff>
    </xdr:to>
    <xdr:sp macro="" textlink="'Base de Cálculo'!J20">
      <xdr:nvSpPr>
        <xdr:cNvPr id="24" name="CaixaDeTexto 23">
          <a:extLst>
            <a:ext uri="{FF2B5EF4-FFF2-40B4-BE49-F238E27FC236}">
              <a16:creationId xmlns:a16="http://schemas.microsoft.com/office/drawing/2014/main" id="{2EF6A471-6317-6611-E930-2C01D7541676}"/>
            </a:ext>
          </a:extLst>
        </xdr:cNvPr>
        <xdr:cNvSpPr txBox="1"/>
      </xdr:nvSpPr>
      <xdr:spPr>
        <a:xfrm>
          <a:off x="157988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FF00227D-27BE-DA46-9F39-8F04A78A93BE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81%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12700</xdr:colOff>
      <xdr:row>1</xdr:row>
      <xdr:rowOff>63500</xdr:rowOff>
    </xdr:from>
    <xdr:to>
      <xdr:col>14</xdr:col>
      <xdr:colOff>774700</xdr:colOff>
      <xdr:row>2</xdr:row>
      <xdr:rowOff>190500</xdr:rowOff>
    </xdr:to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2D7795C1-6F47-EABC-4AB2-7F7F41407B42}"/>
            </a:ext>
          </a:extLst>
        </xdr:cNvPr>
        <xdr:cNvSpPr txBox="1"/>
      </xdr:nvSpPr>
      <xdr:spPr>
        <a:xfrm>
          <a:off x="102870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Clientes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12</xdr:col>
      <xdr:colOff>762000</xdr:colOff>
      <xdr:row>3</xdr:row>
      <xdr:rowOff>50800</xdr:rowOff>
    </xdr:from>
    <xdr:to>
      <xdr:col>14</xdr:col>
      <xdr:colOff>762000</xdr:colOff>
      <xdr:row>6</xdr:row>
      <xdr:rowOff>101600</xdr:rowOff>
    </xdr:to>
    <xdr:sp macro="" textlink="'Base de Cálculo'!G20">
      <xdr:nvSpPr>
        <xdr:cNvPr id="26" name="CaixaDeTexto 25">
          <a:extLst>
            <a:ext uri="{FF2B5EF4-FFF2-40B4-BE49-F238E27FC236}">
              <a16:creationId xmlns:a16="http://schemas.microsoft.com/office/drawing/2014/main" id="{865101F7-5DBB-9412-79BC-F60AC93A8C31}"/>
            </a:ext>
          </a:extLst>
        </xdr:cNvPr>
        <xdr:cNvSpPr txBox="1"/>
      </xdr:nvSpPr>
      <xdr:spPr>
        <a:xfrm>
          <a:off x="102108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49D3E50A-BF51-6E46-B5F7-063CDD0C5D5D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7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230498</xdr:colOff>
      <xdr:row>10</xdr:row>
      <xdr:rowOff>79374</xdr:rowOff>
    </xdr:from>
    <xdr:to>
      <xdr:col>12</xdr:col>
      <xdr:colOff>266700</xdr:colOff>
      <xdr:row>40</xdr:row>
      <xdr:rowOff>153459</xdr:rowOff>
    </xdr:to>
    <xdr:grpSp>
      <xdr:nvGrpSpPr>
        <xdr:cNvPr id="33" name="Group 32">
          <a:extLst>
            <a:ext uri="{FF2B5EF4-FFF2-40B4-BE49-F238E27FC236}">
              <a16:creationId xmlns:a16="http://schemas.microsoft.com/office/drawing/2014/main" id="{0D370983-BC22-6840-97CC-E564C1172F26}"/>
            </a:ext>
          </a:extLst>
        </xdr:cNvPr>
        <xdr:cNvGrpSpPr/>
      </xdr:nvGrpSpPr>
      <xdr:grpSpPr>
        <a:xfrm>
          <a:off x="598798" y="2111374"/>
          <a:ext cx="9256402" cy="6170085"/>
          <a:chOff x="596900" y="2108200"/>
          <a:chExt cx="9118600" cy="6172200"/>
        </a:xfrm>
      </xdr:grpSpPr>
      <xdr:graphicFrame macro="">
        <xdr:nvGraphicFramePr>
          <xdr:cNvPr id="11" name="Chart 10">
            <a:extLst>
              <a:ext uri="{FF2B5EF4-FFF2-40B4-BE49-F238E27FC236}">
                <a16:creationId xmlns:a16="http://schemas.microsoft.com/office/drawing/2014/main" id="{617D48B0-406A-0199-93C7-D1496F0DDCD9}"/>
              </a:ext>
            </a:extLst>
          </xdr:cNvPr>
          <xdr:cNvGraphicFramePr/>
        </xdr:nvGraphicFramePr>
        <xdr:xfrm>
          <a:off x="685800" y="5638800"/>
          <a:ext cx="8686800" cy="26416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3" name="CaixaDeTexto 15">
            <a:extLst>
              <a:ext uri="{FF2B5EF4-FFF2-40B4-BE49-F238E27FC236}">
                <a16:creationId xmlns:a16="http://schemas.microsoft.com/office/drawing/2014/main" id="{64972258-E964-EC4D-99D0-F812E269CCF7}"/>
              </a:ext>
            </a:extLst>
          </xdr:cNvPr>
          <xdr:cNvSpPr txBox="1"/>
        </xdr:nvSpPr>
        <xdr:spPr>
          <a:xfrm>
            <a:off x="596900" y="2108200"/>
            <a:ext cx="20066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Tipologia </a:t>
            </a:r>
            <a:r>
              <a:rPr lang="pt-PT" sz="1600" kern="1200" baseline="0">
                <a:solidFill>
                  <a:schemeClr val="tx1"/>
                </a:solidFill>
                <a:latin typeface="NeueHaasGroteskDisp Pro" panose="020B0504020202020204" pitchFamily="34" charset="77"/>
              </a:rPr>
              <a:t> de Pedidos</a:t>
            </a:r>
            <a:endParaRPr lang="pt-PT" sz="1600" kern="1200">
              <a:solidFill>
                <a:schemeClr val="tx1"/>
              </a:solidFill>
              <a:latin typeface="NeueHaasGroteskDisp Pro" panose="020B0504020202020204" pitchFamily="34" charset="77"/>
            </a:endParaRP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1E4B21AF-4CD9-C97F-BAE8-F56C252BCD85}"/>
              </a:ext>
            </a:extLst>
          </xdr:cNvPr>
          <xdr:cNvGraphicFramePr/>
        </xdr:nvGraphicFramePr>
        <xdr:xfrm>
          <a:off x="596900" y="2692400"/>
          <a:ext cx="3886200" cy="279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27" name="Chart 26">
            <a:extLst>
              <a:ext uri="{FF2B5EF4-FFF2-40B4-BE49-F238E27FC236}">
                <a16:creationId xmlns:a16="http://schemas.microsoft.com/office/drawing/2014/main" id="{D09C7A95-BF7D-951D-54F6-6BEF468312D6}"/>
              </a:ext>
            </a:extLst>
          </xdr:cNvPr>
          <xdr:cNvGraphicFramePr/>
        </xdr:nvGraphicFramePr>
        <xdr:xfrm>
          <a:off x="3975732" y="2154458"/>
          <a:ext cx="5739768" cy="34843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11</xdr:col>
      <xdr:colOff>495251</xdr:colOff>
      <xdr:row>26</xdr:row>
      <xdr:rowOff>193846</xdr:rowOff>
    </xdr:from>
    <xdr:to>
      <xdr:col>21</xdr:col>
      <xdr:colOff>482600</xdr:colOff>
      <xdr:row>41</xdr:row>
      <xdr:rowOff>139700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A49F0AEB-88BB-1E07-23F8-B07037A3B56E}"/>
            </a:ext>
          </a:extLst>
        </xdr:cNvPr>
        <xdr:cNvGrpSpPr/>
      </xdr:nvGrpSpPr>
      <xdr:grpSpPr>
        <a:xfrm>
          <a:off x="9245551" y="5477046"/>
          <a:ext cx="8813849" cy="2993854"/>
          <a:chOff x="9118551" y="5477046"/>
          <a:chExt cx="8699549" cy="2993854"/>
        </a:xfrm>
      </xdr:grpSpPr>
      <xdr:sp macro="" textlink="">
        <xdr:nvSpPr>
          <xdr:cNvPr id="6" name="Retângulo Arredondado 3">
            <a:extLst>
              <a:ext uri="{FF2B5EF4-FFF2-40B4-BE49-F238E27FC236}">
                <a16:creationId xmlns:a16="http://schemas.microsoft.com/office/drawing/2014/main" id="{245C4491-6E0D-679C-3499-60842914C3DD}"/>
              </a:ext>
            </a:extLst>
          </xdr:cNvPr>
          <xdr:cNvSpPr/>
        </xdr:nvSpPr>
        <xdr:spPr>
          <a:xfrm>
            <a:off x="9118551" y="5477046"/>
            <a:ext cx="8699549" cy="2993854"/>
          </a:xfrm>
          <a:prstGeom prst="roundRect">
            <a:avLst>
              <a:gd name="adj" fmla="val 7401"/>
            </a:avLst>
          </a:prstGeom>
          <a:solidFill>
            <a:srgbClr val="F9F9F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 kern="1200"/>
          </a:p>
        </xdr:txBody>
      </xdr:sp>
      <xdr:graphicFrame macro="">
        <xdr:nvGraphicFramePr>
          <xdr:cNvPr id="28" name="Chart 27">
            <a:extLst>
              <a:ext uri="{FF2B5EF4-FFF2-40B4-BE49-F238E27FC236}">
                <a16:creationId xmlns:a16="http://schemas.microsoft.com/office/drawing/2014/main" id="{BA404207-15D5-E257-6FA4-096ABF1D89B1}"/>
              </a:ext>
            </a:extLst>
          </xdr:cNvPr>
          <xdr:cNvGraphicFramePr/>
        </xdr:nvGraphicFramePr>
        <xdr:xfrm>
          <a:off x="9436100" y="5702300"/>
          <a:ext cx="8204200" cy="2578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29" name="CaixaDeTexto 15">
            <a:extLst>
              <a:ext uri="{FF2B5EF4-FFF2-40B4-BE49-F238E27FC236}">
                <a16:creationId xmlns:a16="http://schemas.microsoft.com/office/drawing/2014/main" id="{B45E74F0-D806-DFD8-2344-5E683B6B42C7}"/>
              </a:ext>
            </a:extLst>
          </xdr:cNvPr>
          <xdr:cNvSpPr txBox="1"/>
        </xdr:nvSpPr>
        <xdr:spPr>
          <a:xfrm>
            <a:off x="9448800" y="5651500"/>
            <a:ext cx="21463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Clientes</a:t>
            </a:r>
            <a:r>
              <a:rPr lang="pt-PT" sz="1600" kern="1200" baseline="0">
                <a:solidFill>
                  <a:schemeClr val="tx1"/>
                </a:solidFill>
                <a:latin typeface="NeueHaasGroteskDisp Pro" panose="020B0504020202020204" pitchFamily="34" charset="77"/>
              </a:rPr>
              <a:t> por Faturação</a:t>
            </a:r>
            <a:endParaRPr lang="pt-PT" sz="1600" kern="1200">
              <a:solidFill>
                <a:schemeClr val="tx1"/>
              </a:solidFill>
              <a:latin typeface="NeueHaasGroteskDisp Pro" panose="020B0504020202020204" pitchFamily="34" charset="77"/>
            </a:endParaRP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</xdr:grpSp>
    <xdr:clientData/>
  </xdr:twoCellAnchor>
  <xdr:twoCellAnchor>
    <xdr:from>
      <xdr:col>11</xdr:col>
      <xdr:colOff>661838</xdr:colOff>
      <xdr:row>9</xdr:row>
      <xdr:rowOff>140813</xdr:rowOff>
    </xdr:from>
    <xdr:to>
      <xdr:col>16</xdr:col>
      <xdr:colOff>122346</xdr:colOff>
      <xdr:row>25</xdr:row>
      <xdr:rowOff>78334</xdr:rowOff>
    </xdr:to>
    <xdr:grpSp>
      <xdr:nvGrpSpPr>
        <xdr:cNvPr id="34" name="Group 33">
          <a:extLst>
            <a:ext uri="{FF2B5EF4-FFF2-40B4-BE49-F238E27FC236}">
              <a16:creationId xmlns:a16="http://schemas.microsoft.com/office/drawing/2014/main" id="{B46ADD39-56DB-E20B-5C89-A964EC5DA5C7}"/>
            </a:ext>
          </a:extLst>
        </xdr:cNvPr>
        <xdr:cNvGrpSpPr/>
      </xdr:nvGrpSpPr>
      <xdr:grpSpPr>
        <a:xfrm>
          <a:off x="9412138" y="1969613"/>
          <a:ext cx="3651508" cy="3188721"/>
          <a:chOff x="9283700" y="1968500"/>
          <a:chExt cx="3589445" cy="3187700"/>
        </a:xfrm>
      </xdr:grpSpPr>
      <xdr:graphicFrame macro="">
        <xdr:nvGraphicFramePr>
          <xdr:cNvPr id="31" name="Chart 30">
            <a:extLst>
              <a:ext uri="{FF2B5EF4-FFF2-40B4-BE49-F238E27FC236}">
                <a16:creationId xmlns:a16="http://schemas.microsoft.com/office/drawing/2014/main" id="{736DA18C-F891-581B-6408-D0BA239778C5}"/>
              </a:ext>
            </a:extLst>
          </xdr:cNvPr>
          <xdr:cNvGraphicFramePr/>
        </xdr:nvGraphicFramePr>
        <xdr:xfrm>
          <a:off x="9400575" y="2184400"/>
          <a:ext cx="3472570" cy="2971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32" name="CaixaDeTexto 15">
            <a:extLst>
              <a:ext uri="{FF2B5EF4-FFF2-40B4-BE49-F238E27FC236}">
                <a16:creationId xmlns:a16="http://schemas.microsoft.com/office/drawing/2014/main" id="{A592F918-4B1C-35E1-135C-68A31F07D321}"/>
              </a:ext>
            </a:extLst>
          </xdr:cNvPr>
          <xdr:cNvSpPr txBox="1"/>
        </xdr:nvSpPr>
        <xdr:spPr>
          <a:xfrm>
            <a:off x="9283700" y="1968500"/>
            <a:ext cx="23114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Critérios de Seleção </a:t>
            </a: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</xdr:grpSp>
    <xdr:clientData/>
  </xdr:twoCellAnchor>
  <xdr:twoCellAnchor>
    <xdr:from>
      <xdr:col>16</xdr:col>
      <xdr:colOff>304800</xdr:colOff>
      <xdr:row>9</xdr:row>
      <xdr:rowOff>49230</xdr:rowOff>
    </xdr:from>
    <xdr:to>
      <xdr:col>21</xdr:col>
      <xdr:colOff>469900</xdr:colOff>
      <xdr:row>17</xdr:row>
      <xdr:rowOff>0</xdr:rowOff>
    </xdr:to>
    <xdr:sp macro="" textlink="">
      <xdr:nvSpPr>
        <xdr:cNvPr id="8" name="Retângulo Arredondado 7">
          <a:extLst>
            <a:ext uri="{FF2B5EF4-FFF2-40B4-BE49-F238E27FC236}">
              <a16:creationId xmlns:a16="http://schemas.microsoft.com/office/drawing/2014/main" id="{3F149B8D-46DD-4624-3533-1F478441DDD3}"/>
            </a:ext>
          </a:extLst>
        </xdr:cNvPr>
        <xdr:cNvSpPr/>
      </xdr:nvSpPr>
      <xdr:spPr>
        <a:xfrm>
          <a:off x="13055600" y="1878030"/>
          <a:ext cx="4749800" cy="1576370"/>
        </a:xfrm>
        <a:prstGeom prst="roundRect">
          <a:avLst>
            <a:gd name="adj" fmla="val 13846"/>
          </a:avLst>
        </a:prstGeom>
        <a:solidFill>
          <a:srgbClr val="FC4E0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 kern="1200">
            <a:solidFill>
              <a:srgbClr val="FC4E02"/>
            </a:solidFill>
          </a:endParaRPr>
        </a:p>
      </xdr:txBody>
    </xdr:sp>
    <xdr:clientData/>
  </xdr:twoCellAnchor>
  <xdr:twoCellAnchor>
    <xdr:from>
      <xdr:col>16</xdr:col>
      <xdr:colOff>508000</xdr:colOff>
      <xdr:row>10</xdr:row>
      <xdr:rowOff>12700</xdr:rowOff>
    </xdr:from>
    <xdr:to>
      <xdr:col>20</xdr:col>
      <xdr:colOff>857250</xdr:colOff>
      <xdr:row>11</xdr:row>
      <xdr:rowOff>139700</xdr:rowOff>
    </xdr:to>
    <xdr:sp macro="" textlink="">
      <xdr:nvSpPr>
        <xdr:cNvPr id="36" name="CaixaDeTexto 15">
          <a:extLst>
            <a:ext uri="{FF2B5EF4-FFF2-40B4-BE49-F238E27FC236}">
              <a16:creationId xmlns:a16="http://schemas.microsoft.com/office/drawing/2014/main" id="{4E471F75-B1B5-CE4E-9C2F-9616367981EA}"/>
            </a:ext>
          </a:extLst>
        </xdr:cNvPr>
        <xdr:cNvSpPr txBox="1"/>
      </xdr:nvSpPr>
      <xdr:spPr>
        <a:xfrm>
          <a:off x="13260917" y="2023533"/>
          <a:ext cx="3651250" cy="3280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PT" sz="1600" kern="1200">
              <a:solidFill>
                <a:schemeClr val="bg1"/>
              </a:solidFill>
              <a:latin typeface="NeueHaasGroteskDisp Pro" panose="020B0504020202020204" pitchFamily="34" charset="77"/>
            </a:rPr>
            <a:t>Total Orçamentos</a:t>
          </a:r>
          <a:r>
            <a:rPr lang="pt-PT" sz="1600" kern="1200" baseline="0">
              <a:solidFill>
                <a:schemeClr val="bg1"/>
              </a:solidFill>
              <a:latin typeface="NeueHaasGroteskDisp Pro" panose="020B0504020202020204" pitchFamily="34" charset="77"/>
            </a:rPr>
            <a:t> Ganhos</a:t>
          </a:r>
          <a:endParaRPr lang="pt-PT" sz="1600" kern="1200">
            <a:solidFill>
              <a:schemeClr val="bg1"/>
            </a:solidFill>
            <a:latin typeface="NeueHaasGroteskDisp Pro" panose="020B0504020202020204" pitchFamily="34" charset="77"/>
          </a:endParaRPr>
        </a:p>
        <a:p>
          <a:pPr algn="l"/>
          <a:endParaRPr lang="pt-PT" sz="1600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114300</xdr:colOff>
      <xdr:row>12</xdr:row>
      <xdr:rowOff>25400</xdr:rowOff>
    </xdr:from>
    <xdr:to>
      <xdr:col>21</xdr:col>
      <xdr:colOff>228600</xdr:colOff>
      <xdr:row>15</xdr:row>
      <xdr:rowOff>76200</xdr:rowOff>
    </xdr:to>
    <xdr:sp macro="" textlink="'Base de Cálculo'!U20">
      <xdr:nvSpPr>
        <xdr:cNvPr id="39" name="CaixaDeTexto 25">
          <a:extLst>
            <a:ext uri="{FF2B5EF4-FFF2-40B4-BE49-F238E27FC236}">
              <a16:creationId xmlns:a16="http://schemas.microsoft.com/office/drawing/2014/main" id="{18BEC71B-6774-9446-ADF2-08E763C978EB}"/>
            </a:ext>
          </a:extLst>
        </xdr:cNvPr>
        <xdr:cNvSpPr txBox="1"/>
      </xdr:nvSpPr>
      <xdr:spPr>
        <a:xfrm>
          <a:off x="13690600" y="2463800"/>
          <a:ext cx="38735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fld id="{64C69A4F-F086-BF42-87CD-47F1515CF678}" type="TxLink">
            <a:rPr lang="en-US" sz="5400" b="0" i="0" u="none" strike="noStrike" kern="1200">
              <a:solidFill>
                <a:schemeClr val="bg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r"/>
            <a:t> 1 602 890  € </a:t>
          </a:fld>
          <a:endParaRPr lang="en-US" sz="5400" b="0" i="0" u="none" strike="noStrike" kern="1200">
            <a:solidFill>
              <a:schemeClr val="bg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304800</xdr:colOff>
      <xdr:row>18</xdr:row>
      <xdr:rowOff>0</xdr:rowOff>
    </xdr:from>
    <xdr:to>
      <xdr:col>21</xdr:col>
      <xdr:colOff>469900</xdr:colOff>
      <xdr:row>25</xdr:row>
      <xdr:rowOff>153970</xdr:rowOff>
    </xdr:to>
    <xdr:sp macro="" textlink="">
      <xdr:nvSpPr>
        <xdr:cNvPr id="40" name="Retângulo Arredondado 7">
          <a:extLst>
            <a:ext uri="{FF2B5EF4-FFF2-40B4-BE49-F238E27FC236}">
              <a16:creationId xmlns:a16="http://schemas.microsoft.com/office/drawing/2014/main" id="{09DDD188-0336-75CD-A060-1BF4399002F1}"/>
            </a:ext>
          </a:extLst>
        </xdr:cNvPr>
        <xdr:cNvSpPr/>
      </xdr:nvSpPr>
      <xdr:spPr>
        <a:xfrm>
          <a:off x="13055600" y="3657600"/>
          <a:ext cx="4749800" cy="1576370"/>
        </a:xfrm>
        <a:prstGeom prst="roundRect">
          <a:avLst>
            <a:gd name="adj" fmla="val 13846"/>
          </a:avLst>
        </a:prstGeom>
        <a:solidFill>
          <a:srgbClr val="6B6E77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 kern="1200">
            <a:solidFill>
              <a:srgbClr val="FC4E02"/>
            </a:solidFill>
          </a:endParaRPr>
        </a:p>
      </xdr:txBody>
    </xdr:sp>
    <xdr:clientData/>
  </xdr:twoCellAnchor>
  <xdr:twoCellAnchor>
    <xdr:from>
      <xdr:col>16</xdr:col>
      <xdr:colOff>508000</xdr:colOff>
      <xdr:row>18</xdr:row>
      <xdr:rowOff>152400</xdr:rowOff>
    </xdr:from>
    <xdr:to>
      <xdr:col>19</xdr:col>
      <xdr:colOff>63500</xdr:colOff>
      <xdr:row>20</xdr:row>
      <xdr:rowOff>76200</xdr:rowOff>
    </xdr:to>
    <xdr:sp macro="" textlink="">
      <xdr:nvSpPr>
        <xdr:cNvPr id="41" name="CaixaDeTexto 15">
          <a:extLst>
            <a:ext uri="{FF2B5EF4-FFF2-40B4-BE49-F238E27FC236}">
              <a16:creationId xmlns:a16="http://schemas.microsoft.com/office/drawing/2014/main" id="{9049FD43-CBA2-C8CA-AD87-4F73CBBC6D5D}"/>
            </a:ext>
          </a:extLst>
        </xdr:cNvPr>
        <xdr:cNvSpPr txBox="1"/>
      </xdr:nvSpPr>
      <xdr:spPr>
        <a:xfrm>
          <a:off x="13258800" y="3810000"/>
          <a:ext cx="20320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PT" sz="1600" kern="1200">
              <a:solidFill>
                <a:schemeClr val="bg1"/>
              </a:solidFill>
              <a:latin typeface="NeueHaasGroteskDisp Pro" panose="020B0504020202020204" pitchFamily="34" charset="77"/>
            </a:rPr>
            <a:t>Média de Orçamento</a:t>
          </a:r>
        </a:p>
        <a:p>
          <a:pPr algn="l"/>
          <a:endParaRPr lang="pt-PT" sz="1600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266700</xdr:colOff>
      <xdr:row>20</xdr:row>
      <xdr:rowOff>152400</xdr:rowOff>
    </xdr:from>
    <xdr:to>
      <xdr:col>21</xdr:col>
      <xdr:colOff>228600</xdr:colOff>
      <xdr:row>24</xdr:row>
      <xdr:rowOff>0</xdr:rowOff>
    </xdr:to>
    <xdr:sp macro="" textlink="'Base de Cálculo'!V20">
      <xdr:nvSpPr>
        <xdr:cNvPr id="43" name="CaixaDeTexto 25">
          <a:extLst>
            <a:ext uri="{FF2B5EF4-FFF2-40B4-BE49-F238E27FC236}">
              <a16:creationId xmlns:a16="http://schemas.microsoft.com/office/drawing/2014/main" id="{132A0BEC-3806-C91C-41D6-9DB949F7A572}"/>
            </a:ext>
          </a:extLst>
        </xdr:cNvPr>
        <xdr:cNvSpPr txBox="1"/>
      </xdr:nvSpPr>
      <xdr:spPr>
        <a:xfrm>
          <a:off x="14046200" y="4216400"/>
          <a:ext cx="37592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fld id="{CD1865F9-EF90-E148-AAB0-880E93980CD2}" type="TxLink">
            <a:rPr lang="en-US" sz="5400" b="0" i="0" u="none" strike="noStrike" kern="1200">
              <a:solidFill>
                <a:schemeClr val="bg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r"/>
            <a:t> 228 984  € </a:t>
          </a:fld>
          <a:endParaRPr lang="en-US" sz="5400" b="0" i="0" u="none" strike="noStrike" kern="1200">
            <a:solidFill>
              <a:schemeClr val="bg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63500</xdr:colOff>
      <xdr:row>1</xdr:row>
      <xdr:rowOff>63500</xdr:rowOff>
    </xdr:from>
    <xdr:to>
      <xdr:col>17</xdr:col>
      <xdr:colOff>0</xdr:colOff>
      <xdr:row>2</xdr:row>
      <xdr:rowOff>190500</xdr:rowOff>
    </xdr:to>
    <xdr:sp macro="" textlink="">
      <xdr:nvSpPr>
        <xdr:cNvPr id="44" name="CaixaDeTexto 24">
          <a:extLst>
            <a:ext uri="{FF2B5EF4-FFF2-40B4-BE49-F238E27FC236}">
              <a16:creationId xmlns:a16="http://schemas.microsoft.com/office/drawing/2014/main" id="{D229159C-D33E-6156-7B36-269EC08895CD}"/>
            </a:ext>
          </a:extLst>
        </xdr:cNvPr>
        <xdr:cNvSpPr txBox="1"/>
      </xdr:nvSpPr>
      <xdr:spPr>
        <a:xfrm>
          <a:off x="11988800" y="266700"/>
          <a:ext cx="15875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Pendentes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14</xdr:col>
      <xdr:colOff>812800</xdr:colOff>
      <xdr:row>3</xdr:row>
      <xdr:rowOff>50800</xdr:rowOff>
    </xdr:from>
    <xdr:to>
      <xdr:col>16</xdr:col>
      <xdr:colOff>812800</xdr:colOff>
      <xdr:row>6</xdr:row>
      <xdr:rowOff>101600</xdr:rowOff>
    </xdr:to>
    <xdr:sp macro="" textlink="'Base de Cálculo'!F20">
      <xdr:nvSpPr>
        <xdr:cNvPr id="45" name="CaixaDeTexto 25">
          <a:extLst>
            <a:ext uri="{FF2B5EF4-FFF2-40B4-BE49-F238E27FC236}">
              <a16:creationId xmlns:a16="http://schemas.microsoft.com/office/drawing/2014/main" id="{32B02606-5748-5A57-5940-03FEF88F4294}"/>
            </a:ext>
          </a:extLst>
        </xdr:cNvPr>
        <xdr:cNvSpPr txBox="1"/>
      </xdr:nvSpPr>
      <xdr:spPr>
        <a:xfrm>
          <a:off x="11912600" y="660400"/>
          <a:ext cx="16510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F3F6400E-DA51-4344-99AD-C21127C3EA66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0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126999</xdr:colOff>
      <xdr:row>1</xdr:row>
      <xdr:rowOff>101600</xdr:rowOff>
    </xdr:from>
    <xdr:to>
      <xdr:col>3</xdr:col>
      <xdr:colOff>812800</xdr:colOff>
      <xdr:row>3</xdr:row>
      <xdr:rowOff>160445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4C86FC34-EFAA-2E40-A501-E16D5E4BD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299" y="304800"/>
          <a:ext cx="2362201" cy="465245"/>
        </a:xfrm>
        <a:prstGeom prst="rect">
          <a:avLst/>
        </a:prstGeom>
      </xdr:spPr>
    </xdr:pic>
    <xdr:clientData/>
  </xdr:twoCellAnchor>
  <xdr:twoCellAnchor>
    <xdr:from>
      <xdr:col>8</xdr:col>
      <xdr:colOff>584200</xdr:colOff>
      <xdr:row>1</xdr:row>
      <xdr:rowOff>63500</xdr:rowOff>
    </xdr:from>
    <xdr:to>
      <xdr:col>10</xdr:col>
      <xdr:colOff>520700</xdr:colOff>
      <xdr:row>2</xdr:row>
      <xdr:rowOff>190500</xdr:rowOff>
    </xdr:to>
    <xdr:sp macro="" textlink="">
      <xdr:nvSpPr>
        <xdr:cNvPr id="3" name="CaixaDeTexto 15">
          <a:extLst>
            <a:ext uri="{FF2B5EF4-FFF2-40B4-BE49-F238E27FC236}">
              <a16:creationId xmlns:a16="http://schemas.microsoft.com/office/drawing/2014/main" id="{993B8FCF-37FE-1F42-983C-8AD8B97F5938}"/>
            </a:ext>
          </a:extLst>
        </xdr:cNvPr>
        <xdr:cNvSpPr txBox="1"/>
      </xdr:nvSpPr>
      <xdr:spPr>
        <a:xfrm>
          <a:off x="68199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Pedidos 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10</xdr:col>
      <xdr:colOff>698500</xdr:colOff>
      <xdr:row>1</xdr:row>
      <xdr:rowOff>63500</xdr:rowOff>
    </xdr:from>
    <xdr:to>
      <xdr:col>12</xdr:col>
      <xdr:colOff>635000</xdr:colOff>
      <xdr:row>2</xdr:row>
      <xdr:rowOff>190500</xdr:rowOff>
    </xdr:to>
    <xdr:sp macro="" textlink="">
      <xdr:nvSpPr>
        <xdr:cNvPr id="4" name="CaixaDeTexto 17">
          <a:extLst>
            <a:ext uri="{FF2B5EF4-FFF2-40B4-BE49-F238E27FC236}">
              <a16:creationId xmlns:a16="http://schemas.microsoft.com/office/drawing/2014/main" id="{7670BD7B-639B-364D-A2B5-262E061DEA65}"/>
            </a:ext>
          </a:extLst>
        </xdr:cNvPr>
        <xdr:cNvSpPr txBox="1"/>
      </xdr:nvSpPr>
      <xdr:spPr>
        <a:xfrm>
          <a:off x="86106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Pedidos Aceites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17</xdr:col>
      <xdr:colOff>342900</xdr:colOff>
      <xdr:row>1</xdr:row>
      <xdr:rowOff>63500</xdr:rowOff>
    </xdr:from>
    <xdr:to>
      <xdr:col>19</xdr:col>
      <xdr:colOff>279400</xdr:colOff>
      <xdr:row>2</xdr:row>
      <xdr:rowOff>190500</xdr:rowOff>
    </xdr:to>
    <xdr:sp macro="" textlink="">
      <xdr:nvSpPr>
        <xdr:cNvPr id="5" name="CaixaDeTexto 18">
          <a:extLst>
            <a:ext uri="{FF2B5EF4-FFF2-40B4-BE49-F238E27FC236}">
              <a16:creationId xmlns:a16="http://schemas.microsoft.com/office/drawing/2014/main" id="{E0968F39-FA6A-0443-A563-36BE27E3B7FE}"/>
            </a:ext>
          </a:extLst>
        </xdr:cNvPr>
        <xdr:cNvSpPr txBox="1"/>
      </xdr:nvSpPr>
      <xdr:spPr>
        <a:xfrm>
          <a:off x="141224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Sucesso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19</xdr:col>
      <xdr:colOff>635000</xdr:colOff>
      <xdr:row>1</xdr:row>
      <xdr:rowOff>63500</xdr:rowOff>
    </xdr:from>
    <xdr:to>
      <xdr:col>21</xdr:col>
      <xdr:colOff>114300</xdr:colOff>
      <xdr:row>2</xdr:row>
      <xdr:rowOff>190500</xdr:rowOff>
    </xdr:to>
    <xdr:sp macro="" textlink="">
      <xdr:nvSpPr>
        <xdr:cNvPr id="6" name="CaixaDeTexto 19">
          <a:extLst>
            <a:ext uri="{FF2B5EF4-FFF2-40B4-BE49-F238E27FC236}">
              <a16:creationId xmlns:a16="http://schemas.microsoft.com/office/drawing/2014/main" id="{5DEACD9C-D66D-CA4E-9D00-7E6231F38DEA}"/>
            </a:ext>
          </a:extLst>
        </xdr:cNvPr>
        <xdr:cNvSpPr txBox="1"/>
      </xdr:nvSpPr>
      <xdr:spPr>
        <a:xfrm>
          <a:off x="16090900" y="266700"/>
          <a:ext cx="16002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Rejeição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8</xdr:col>
      <xdr:colOff>558800</xdr:colOff>
      <xdr:row>3</xdr:row>
      <xdr:rowOff>38100</xdr:rowOff>
    </xdr:from>
    <xdr:to>
      <xdr:col>10</xdr:col>
      <xdr:colOff>558800</xdr:colOff>
      <xdr:row>6</xdr:row>
      <xdr:rowOff>88900</xdr:rowOff>
    </xdr:to>
    <xdr:sp macro="" textlink="'Base de Cálculo'!C30">
      <xdr:nvSpPr>
        <xdr:cNvPr id="7" name="CaixaDeTexto 20">
          <a:extLst>
            <a:ext uri="{FF2B5EF4-FFF2-40B4-BE49-F238E27FC236}">
              <a16:creationId xmlns:a16="http://schemas.microsoft.com/office/drawing/2014/main" id="{D2C353F9-AB76-E74D-8310-DCFBA3A04405}"/>
            </a:ext>
          </a:extLst>
        </xdr:cNvPr>
        <xdr:cNvSpPr txBox="1"/>
      </xdr:nvSpPr>
      <xdr:spPr>
        <a:xfrm>
          <a:off x="6794500" y="6477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E9193DB5-3BC7-BB46-B88B-67FD9492ADC5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47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622300</xdr:colOff>
      <xdr:row>3</xdr:row>
      <xdr:rowOff>50800</xdr:rowOff>
    </xdr:from>
    <xdr:to>
      <xdr:col>12</xdr:col>
      <xdr:colOff>622300</xdr:colOff>
      <xdr:row>6</xdr:row>
      <xdr:rowOff>101600</xdr:rowOff>
    </xdr:to>
    <xdr:sp macro="" textlink="'Base de Cálculo'!D30">
      <xdr:nvSpPr>
        <xdr:cNvPr id="8" name="CaixaDeTexto 21">
          <a:extLst>
            <a:ext uri="{FF2B5EF4-FFF2-40B4-BE49-F238E27FC236}">
              <a16:creationId xmlns:a16="http://schemas.microsoft.com/office/drawing/2014/main" id="{BDC1F15C-6E23-5C47-8909-83B7E98ED990}"/>
            </a:ext>
          </a:extLst>
        </xdr:cNvPr>
        <xdr:cNvSpPr txBox="1"/>
      </xdr:nvSpPr>
      <xdr:spPr>
        <a:xfrm>
          <a:off x="8534400" y="6604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AC220B6A-3899-A044-B000-47A9022368F6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10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152400</xdr:colOff>
      <xdr:row>3</xdr:row>
      <xdr:rowOff>50800</xdr:rowOff>
    </xdr:from>
    <xdr:to>
      <xdr:col>19</xdr:col>
      <xdr:colOff>406400</xdr:colOff>
      <xdr:row>6</xdr:row>
      <xdr:rowOff>101600</xdr:rowOff>
    </xdr:to>
    <xdr:sp macro="" textlink="'Base de Cálculo'!I30">
      <xdr:nvSpPr>
        <xdr:cNvPr id="9" name="CaixaDeTexto 22">
          <a:extLst>
            <a:ext uri="{FF2B5EF4-FFF2-40B4-BE49-F238E27FC236}">
              <a16:creationId xmlns:a16="http://schemas.microsoft.com/office/drawing/2014/main" id="{2D12AE06-C4AD-D748-9758-9C4CE4AD6611}"/>
            </a:ext>
          </a:extLst>
        </xdr:cNvPr>
        <xdr:cNvSpPr txBox="1"/>
      </xdr:nvSpPr>
      <xdr:spPr>
        <a:xfrm>
          <a:off x="13931900" y="660400"/>
          <a:ext cx="1930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CA7E6BED-C66C-F945-92AB-A0172EA59ABE}" type="TxLink">
            <a:rPr lang="en-US" sz="5400" b="0" i="0" u="none" strike="noStrike" kern="1200">
              <a:solidFill>
                <a:srgbClr val="FF0000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67%</a:t>
          </a:fld>
          <a:endParaRPr lang="en-US" sz="5400" b="0" i="0" u="none" strike="noStrike" kern="1200">
            <a:solidFill>
              <a:srgbClr val="FF0000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571500</xdr:colOff>
      <xdr:row>3</xdr:row>
      <xdr:rowOff>50800</xdr:rowOff>
    </xdr:from>
    <xdr:to>
      <xdr:col>21</xdr:col>
      <xdr:colOff>114300</xdr:colOff>
      <xdr:row>6</xdr:row>
      <xdr:rowOff>101600</xdr:rowOff>
    </xdr:to>
    <xdr:sp macro="" textlink="'Base de Cálculo'!J30">
      <xdr:nvSpPr>
        <xdr:cNvPr id="10" name="CaixaDeTexto 23">
          <a:extLst>
            <a:ext uri="{FF2B5EF4-FFF2-40B4-BE49-F238E27FC236}">
              <a16:creationId xmlns:a16="http://schemas.microsoft.com/office/drawing/2014/main" id="{89239EE5-AB71-B74F-8A28-648E56F9DE8F}"/>
            </a:ext>
          </a:extLst>
        </xdr:cNvPr>
        <xdr:cNvSpPr txBox="1"/>
      </xdr:nvSpPr>
      <xdr:spPr>
        <a:xfrm>
          <a:off x="16027400" y="660400"/>
          <a:ext cx="16637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29352D97-161B-B842-923C-6DBDE2D65C68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79%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12700</xdr:colOff>
      <xdr:row>1</xdr:row>
      <xdr:rowOff>63500</xdr:rowOff>
    </xdr:from>
    <xdr:to>
      <xdr:col>14</xdr:col>
      <xdr:colOff>774700</xdr:colOff>
      <xdr:row>2</xdr:row>
      <xdr:rowOff>190500</xdr:rowOff>
    </xdr:to>
    <xdr:sp macro="" textlink="">
      <xdr:nvSpPr>
        <xdr:cNvPr id="11" name="CaixaDeTexto 24">
          <a:extLst>
            <a:ext uri="{FF2B5EF4-FFF2-40B4-BE49-F238E27FC236}">
              <a16:creationId xmlns:a16="http://schemas.microsoft.com/office/drawing/2014/main" id="{8009EDB4-EFE1-BD49-B962-D8FB02E2BAAE}"/>
            </a:ext>
          </a:extLst>
        </xdr:cNvPr>
        <xdr:cNvSpPr txBox="1"/>
      </xdr:nvSpPr>
      <xdr:spPr>
        <a:xfrm>
          <a:off x="10439400" y="266700"/>
          <a:ext cx="16002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Clientes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12</xdr:col>
      <xdr:colOff>762000</xdr:colOff>
      <xdr:row>3</xdr:row>
      <xdr:rowOff>50800</xdr:rowOff>
    </xdr:from>
    <xdr:to>
      <xdr:col>14</xdr:col>
      <xdr:colOff>762000</xdr:colOff>
      <xdr:row>6</xdr:row>
      <xdr:rowOff>101600</xdr:rowOff>
    </xdr:to>
    <xdr:sp macro="" textlink="'Base de Cálculo'!G30">
      <xdr:nvSpPr>
        <xdr:cNvPr id="12" name="CaixaDeTexto 25">
          <a:extLst>
            <a:ext uri="{FF2B5EF4-FFF2-40B4-BE49-F238E27FC236}">
              <a16:creationId xmlns:a16="http://schemas.microsoft.com/office/drawing/2014/main" id="{CF933283-EE94-9B44-BB9F-1541199674FE}"/>
            </a:ext>
          </a:extLst>
        </xdr:cNvPr>
        <xdr:cNvSpPr txBox="1"/>
      </xdr:nvSpPr>
      <xdr:spPr>
        <a:xfrm>
          <a:off x="10350500" y="6604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54FACC28-B1AB-1044-9D7E-073CF2F3CEB6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4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230498</xdr:colOff>
      <xdr:row>10</xdr:row>
      <xdr:rowOff>79374</xdr:rowOff>
    </xdr:from>
    <xdr:to>
      <xdr:col>12</xdr:col>
      <xdr:colOff>266700</xdr:colOff>
      <xdr:row>40</xdr:row>
      <xdr:rowOff>153459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4DC426A2-0009-1644-9126-348757921FD6}"/>
            </a:ext>
          </a:extLst>
        </xdr:cNvPr>
        <xdr:cNvGrpSpPr/>
      </xdr:nvGrpSpPr>
      <xdr:grpSpPr>
        <a:xfrm>
          <a:off x="598798" y="2111374"/>
          <a:ext cx="9256402" cy="6170085"/>
          <a:chOff x="596900" y="2108200"/>
          <a:chExt cx="9118600" cy="6172200"/>
        </a:xfrm>
      </xdr:grpSpPr>
      <xdr:graphicFrame macro="">
        <xdr:nvGraphicFramePr>
          <xdr:cNvPr id="14" name="Chart 13">
            <a:extLst>
              <a:ext uri="{FF2B5EF4-FFF2-40B4-BE49-F238E27FC236}">
                <a16:creationId xmlns:a16="http://schemas.microsoft.com/office/drawing/2014/main" id="{33E047B9-5D47-750A-5258-342D7B05E4E3}"/>
              </a:ext>
            </a:extLst>
          </xdr:cNvPr>
          <xdr:cNvGraphicFramePr/>
        </xdr:nvGraphicFramePr>
        <xdr:xfrm>
          <a:off x="685800" y="5638800"/>
          <a:ext cx="8686800" cy="26416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5" name="CaixaDeTexto 15">
            <a:extLst>
              <a:ext uri="{FF2B5EF4-FFF2-40B4-BE49-F238E27FC236}">
                <a16:creationId xmlns:a16="http://schemas.microsoft.com/office/drawing/2014/main" id="{6AF20BFF-0231-406F-F463-A6CC5E6176E0}"/>
              </a:ext>
            </a:extLst>
          </xdr:cNvPr>
          <xdr:cNvSpPr txBox="1"/>
        </xdr:nvSpPr>
        <xdr:spPr>
          <a:xfrm>
            <a:off x="596900" y="2108200"/>
            <a:ext cx="20066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Tipologia </a:t>
            </a:r>
            <a:r>
              <a:rPr lang="pt-PT" sz="1600" kern="1200" baseline="0">
                <a:solidFill>
                  <a:schemeClr val="tx1"/>
                </a:solidFill>
                <a:latin typeface="NeueHaasGroteskDisp Pro" panose="020B0504020202020204" pitchFamily="34" charset="77"/>
              </a:rPr>
              <a:t> de Pedidos</a:t>
            </a:r>
            <a:endParaRPr lang="pt-PT" sz="1600" kern="1200">
              <a:solidFill>
                <a:schemeClr val="tx1"/>
              </a:solidFill>
              <a:latin typeface="NeueHaasGroteskDisp Pro" panose="020B0504020202020204" pitchFamily="34" charset="77"/>
            </a:endParaRP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7CD0D95D-B9FB-7C09-D319-EBA091E4751B}"/>
              </a:ext>
            </a:extLst>
          </xdr:cNvPr>
          <xdr:cNvGraphicFramePr/>
        </xdr:nvGraphicFramePr>
        <xdr:xfrm>
          <a:off x="3975732" y="2154458"/>
          <a:ext cx="5739768" cy="34843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>
    <xdr:from>
      <xdr:col>11</xdr:col>
      <xdr:colOff>495251</xdr:colOff>
      <xdr:row>26</xdr:row>
      <xdr:rowOff>193846</xdr:rowOff>
    </xdr:from>
    <xdr:to>
      <xdr:col>21</xdr:col>
      <xdr:colOff>482600</xdr:colOff>
      <xdr:row>41</xdr:row>
      <xdr:rowOff>139700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C51E3CEE-C744-894E-8D4B-638F9D33E31E}"/>
            </a:ext>
          </a:extLst>
        </xdr:cNvPr>
        <xdr:cNvGrpSpPr/>
      </xdr:nvGrpSpPr>
      <xdr:grpSpPr>
        <a:xfrm>
          <a:off x="9245551" y="5477046"/>
          <a:ext cx="8813849" cy="2993854"/>
          <a:chOff x="9118551" y="5477046"/>
          <a:chExt cx="8699549" cy="2993854"/>
        </a:xfrm>
      </xdr:grpSpPr>
      <xdr:sp macro="" textlink="">
        <xdr:nvSpPr>
          <xdr:cNvPr id="19" name="Retângulo Arredondado 3">
            <a:extLst>
              <a:ext uri="{FF2B5EF4-FFF2-40B4-BE49-F238E27FC236}">
                <a16:creationId xmlns:a16="http://schemas.microsoft.com/office/drawing/2014/main" id="{33EF9236-A95D-1D47-F2C6-5AE19E2FC111}"/>
              </a:ext>
            </a:extLst>
          </xdr:cNvPr>
          <xdr:cNvSpPr/>
        </xdr:nvSpPr>
        <xdr:spPr>
          <a:xfrm>
            <a:off x="9118551" y="5477046"/>
            <a:ext cx="8699549" cy="2993854"/>
          </a:xfrm>
          <a:prstGeom prst="roundRect">
            <a:avLst>
              <a:gd name="adj" fmla="val 7401"/>
            </a:avLst>
          </a:prstGeom>
          <a:solidFill>
            <a:srgbClr val="F9F9F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 kern="1200"/>
          </a:p>
        </xdr:txBody>
      </xdr:sp>
      <xdr:graphicFrame macro="">
        <xdr:nvGraphicFramePr>
          <xdr:cNvPr id="20" name="Chart 19">
            <a:extLst>
              <a:ext uri="{FF2B5EF4-FFF2-40B4-BE49-F238E27FC236}">
                <a16:creationId xmlns:a16="http://schemas.microsoft.com/office/drawing/2014/main" id="{4DE0B14A-2213-81DA-257E-7A676ED166F2}"/>
              </a:ext>
            </a:extLst>
          </xdr:cNvPr>
          <xdr:cNvGraphicFramePr/>
        </xdr:nvGraphicFramePr>
        <xdr:xfrm>
          <a:off x="9436100" y="5702300"/>
          <a:ext cx="8204200" cy="2578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21" name="CaixaDeTexto 15">
            <a:extLst>
              <a:ext uri="{FF2B5EF4-FFF2-40B4-BE49-F238E27FC236}">
                <a16:creationId xmlns:a16="http://schemas.microsoft.com/office/drawing/2014/main" id="{53444208-7345-53FC-B366-4FBD7583840E}"/>
              </a:ext>
            </a:extLst>
          </xdr:cNvPr>
          <xdr:cNvSpPr txBox="1"/>
        </xdr:nvSpPr>
        <xdr:spPr>
          <a:xfrm>
            <a:off x="9448800" y="5651500"/>
            <a:ext cx="21463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Clientes</a:t>
            </a:r>
            <a:r>
              <a:rPr lang="pt-PT" sz="1600" kern="1200" baseline="0">
                <a:solidFill>
                  <a:schemeClr val="tx1"/>
                </a:solidFill>
                <a:latin typeface="NeueHaasGroteskDisp Pro" panose="020B0504020202020204" pitchFamily="34" charset="77"/>
              </a:rPr>
              <a:t> por Faturação</a:t>
            </a:r>
            <a:endParaRPr lang="pt-PT" sz="1600" kern="1200">
              <a:solidFill>
                <a:schemeClr val="tx1"/>
              </a:solidFill>
              <a:latin typeface="NeueHaasGroteskDisp Pro" panose="020B0504020202020204" pitchFamily="34" charset="77"/>
            </a:endParaRP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</xdr:grpSp>
    <xdr:clientData/>
  </xdr:twoCellAnchor>
  <xdr:twoCellAnchor>
    <xdr:from>
      <xdr:col>11</xdr:col>
      <xdr:colOff>661838</xdr:colOff>
      <xdr:row>9</xdr:row>
      <xdr:rowOff>140813</xdr:rowOff>
    </xdr:from>
    <xdr:to>
      <xdr:col>16</xdr:col>
      <xdr:colOff>122346</xdr:colOff>
      <xdr:row>25</xdr:row>
      <xdr:rowOff>78334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90C79CFB-C70D-9E46-9FA5-747600E2AB6C}"/>
            </a:ext>
          </a:extLst>
        </xdr:cNvPr>
        <xdr:cNvGrpSpPr/>
      </xdr:nvGrpSpPr>
      <xdr:grpSpPr>
        <a:xfrm>
          <a:off x="9412138" y="1969613"/>
          <a:ext cx="3651508" cy="3188721"/>
          <a:chOff x="9283700" y="1968500"/>
          <a:chExt cx="3589445" cy="3187700"/>
        </a:xfrm>
      </xdr:grpSpPr>
      <xdr:graphicFrame macro="">
        <xdr:nvGraphicFramePr>
          <xdr:cNvPr id="23" name="Chart 22">
            <a:extLst>
              <a:ext uri="{FF2B5EF4-FFF2-40B4-BE49-F238E27FC236}">
                <a16:creationId xmlns:a16="http://schemas.microsoft.com/office/drawing/2014/main" id="{92DE2304-AFB2-913C-F571-AA199D8AF52A}"/>
              </a:ext>
            </a:extLst>
          </xdr:cNvPr>
          <xdr:cNvGraphicFramePr/>
        </xdr:nvGraphicFramePr>
        <xdr:xfrm>
          <a:off x="9400575" y="2184400"/>
          <a:ext cx="3472570" cy="2971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24" name="CaixaDeTexto 15">
            <a:extLst>
              <a:ext uri="{FF2B5EF4-FFF2-40B4-BE49-F238E27FC236}">
                <a16:creationId xmlns:a16="http://schemas.microsoft.com/office/drawing/2014/main" id="{8545EC25-38F3-E968-C532-858C8EF9C74E}"/>
              </a:ext>
            </a:extLst>
          </xdr:cNvPr>
          <xdr:cNvSpPr txBox="1"/>
        </xdr:nvSpPr>
        <xdr:spPr>
          <a:xfrm>
            <a:off x="9283700" y="1968500"/>
            <a:ext cx="2311400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PT" sz="1600" kern="1200">
                <a:solidFill>
                  <a:schemeClr val="tx1"/>
                </a:solidFill>
                <a:latin typeface="NeueHaasGroteskDisp Pro" panose="020B0504020202020204" pitchFamily="34" charset="77"/>
              </a:rPr>
              <a:t>Critérios de Seleção </a:t>
            </a:r>
          </a:p>
          <a:p>
            <a:pPr algn="ctr"/>
            <a:endParaRPr lang="pt-PT" sz="1600" kern="1200">
              <a:solidFill>
                <a:srgbClr val="C3C4C8"/>
              </a:solidFill>
            </a:endParaRPr>
          </a:p>
        </xdr:txBody>
      </xdr:sp>
    </xdr:grpSp>
    <xdr:clientData/>
  </xdr:twoCellAnchor>
  <xdr:twoCellAnchor>
    <xdr:from>
      <xdr:col>16</xdr:col>
      <xdr:colOff>304800</xdr:colOff>
      <xdr:row>9</xdr:row>
      <xdr:rowOff>49230</xdr:rowOff>
    </xdr:from>
    <xdr:to>
      <xdr:col>21</xdr:col>
      <xdr:colOff>469900</xdr:colOff>
      <xdr:row>17</xdr:row>
      <xdr:rowOff>0</xdr:rowOff>
    </xdr:to>
    <xdr:sp macro="" textlink="">
      <xdr:nvSpPr>
        <xdr:cNvPr id="25" name="Retângulo Arredondado 7">
          <a:extLst>
            <a:ext uri="{FF2B5EF4-FFF2-40B4-BE49-F238E27FC236}">
              <a16:creationId xmlns:a16="http://schemas.microsoft.com/office/drawing/2014/main" id="{F9819CD9-724A-884F-84F9-66BAF20242BE}"/>
            </a:ext>
          </a:extLst>
        </xdr:cNvPr>
        <xdr:cNvSpPr/>
      </xdr:nvSpPr>
      <xdr:spPr>
        <a:xfrm>
          <a:off x="13246100" y="1878030"/>
          <a:ext cx="4800600" cy="1576370"/>
        </a:xfrm>
        <a:prstGeom prst="roundRect">
          <a:avLst>
            <a:gd name="adj" fmla="val 13846"/>
          </a:avLst>
        </a:prstGeom>
        <a:solidFill>
          <a:srgbClr val="FC4E0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 kern="1200">
            <a:solidFill>
              <a:srgbClr val="FC4E02"/>
            </a:solidFill>
          </a:endParaRPr>
        </a:p>
      </xdr:txBody>
    </xdr:sp>
    <xdr:clientData/>
  </xdr:twoCellAnchor>
  <xdr:twoCellAnchor>
    <xdr:from>
      <xdr:col>16</xdr:col>
      <xdr:colOff>508000</xdr:colOff>
      <xdr:row>10</xdr:row>
      <xdr:rowOff>12700</xdr:rowOff>
    </xdr:from>
    <xdr:to>
      <xdr:col>20</xdr:col>
      <xdr:colOff>857250</xdr:colOff>
      <xdr:row>11</xdr:row>
      <xdr:rowOff>139700</xdr:rowOff>
    </xdr:to>
    <xdr:sp macro="" textlink="">
      <xdr:nvSpPr>
        <xdr:cNvPr id="26" name="CaixaDeTexto 15">
          <a:extLst>
            <a:ext uri="{FF2B5EF4-FFF2-40B4-BE49-F238E27FC236}">
              <a16:creationId xmlns:a16="http://schemas.microsoft.com/office/drawing/2014/main" id="{01639CC8-3061-9D4E-A708-C18DDE7645E4}"/>
            </a:ext>
          </a:extLst>
        </xdr:cNvPr>
        <xdr:cNvSpPr txBox="1"/>
      </xdr:nvSpPr>
      <xdr:spPr>
        <a:xfrm>
          <a:off x="13449300" y="2044700"/>
          <a:ext cx="370205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PT" sz="1600" kern="1200">
              <a:solidFill>
                <a:schemeClr val="bg1"/>
              </a:solidFill>
              <a:latin typeface="NeueHaasGroteskDisp Pro" panose="020B0504020202020204" pitchFamily="34" charset="77"/>
            </a:rPr>
            <a:t>Total Orçamentos</a:t>
          </a:r>
          <a:r>
            <a:rPr lang="pt-PT" sz="1600" kern="1200" baseline="0">
              <a:solidFill>
                <a:schemeClr val="bg1"/>
              </a:solidFill>
              <a:latin typeface="NeueHaasGroteskDisp Pro" panose="020B0504020202020204" pitchFamily="34" charset="77"/>
            </a:rPr>
            <a:t> Ganhos</a:t>
          </a:r>
          <a:endParaRPr lang="pt-PT" sz="1600" kern="1200">
            <a:solidFill>
              <a:schemeClr val="bg1"/>
            </a:solidFill>
            <a:latin typeface="NeueHaasGroteskDisp Pro" panose="020B0504020202020204" pitchFamily="34" charset="77"/>
          </a:endParaRPr>
        </a:p>
        <a:p>
          <a:pPr algn="l"/>
          <a:endParaRPr lang="pt-PT" sz="1600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114300</xdr:colOff>
      <xdr:row>12</xdr:row>
      <xdr:rowOff>25400</xdr:rowOff>
    </xdr:from>
    <xdr:to>
      <xdr:col>21</xdr:col>
      <xdr:colOff>228600</xdr:colOff>
      <xdr:row>15</xdr:row>
      <xdr:rowOff>76200</xdr:rowOff>
    </xdr:to>
    <xdr:sp macro="" textlink="'Base de Cálculo'!U30">
      <xdr:nvSpPr>
        <xdr:cNvPr id="27" name="CaixaDeTexto 25">
          <a:extLst>
            <a:ext uri="{FF2B5EF4-FFF2-40B4-BE49-F238E27FC236}">
              <a16:creationId xmlns:a16="http://schemas.microsoft.com/office/drawing/2014/main" id="{89B8734B-000E-324D-82F3-CDFDFC72FDDC}"/>
            </a:ext>
          </a:extLst>
        </xdr:cNvPr>
        <xdr:cNvSpPr txBox="1"/>
      </xdr:nvSpPr>
      <xdr:spPr>
        <a:xfrm>
          <a:off x="13893800" y="2463800"/>
          <a:ext cx="39116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fld id="{40BEECD4-778E-DF4E-82F4-A7F0135519DE}" type="TxLink">
            <a:rPr lang="en-US" sz="5400" b="0" i="0" u="none" strike="noStrike" kern="1200">
              <a:solidFill>
                <a:schemeClr val="bg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r"/>
            <a:t> 37 420  € </a:t>
          </a:fld>
          <a:endParaRPr lang="en-US" sz="5400" b="0" i="0" u="none" strike="noStrike" kern="1200">
            <a:solidFill>
              <a:schemeClr val="bg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304800</xdr:colOff>
      <xdr:row>18</xdr:row>
      <xdr:rowOff>0</xdr:rowOff>
    </xdr:from>
    <xdr:to>
      <xdr:col>21</xdr:col>
      <xdr:colOff>469900</xdr:colOff>
      <xdr:row>25</xdr:row>
      <xdr:rowOff>153970</xdr:rowOff>
    </xdr:to>
    <xdr:sp macro="" textlink="">
      <xdr:nvSpPr>
        <xdr:cNvPr id="28" name="Retângulo Arredondado 7">
          <a:extLst>
            <a:ext uri="{FF2B5EF4-FFF2-40B4-BE49-F238E27FC236}">
              <a16:creationId xmlns:a16="http://schemas.microsoft.com/office/drawing/2014/main" id="{063543C8-13E3-8449-8DD6-D831810CDC13}"/>
            </a:ext>
          </a:extLst>
        </xdr:cNvPr>
        <xdr:cNvSpPr/>
      </xdr:nvSpPr>
      <xdr:spPr>
        <a:xfrm>
          <a:off x="13246100" y="3657600"/>
          <a:ext cx="4800600" cy="1576370"/>
        </a:xfrm>
        <a:prstGeom prst="roundRect">
          <a:avLst>
            <a:gd name="adj" fmla="val 13846"/>
          </a:avLst>
        </a:prstGeom>
        <a:solidFill>
          <a:srgbClr val="6B6E77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 kern="1200">
            <a:solidFill>
              <a:srgbClr val="FC4E02"/>
            </a:solidFill>
          </a:endParaRPr>
        </a:p>
      </xdr:txBody>
    </xdr:sp>
    <xdr:clientData/>
  </xdr:twoCellAnchor>
  <xdr:twoCellAnchor>
    <xdr:from>
      <xdr:col>16</xdr:col>
      <xdr:colOff>508000</xdr:colOff>
      <xdr:row>18</xdr:row>
      <xdr:rowOff>152400</xdr:rowOff>
    </xdr:from>
    <xdr:to>
      <xdr:col>19</xdr:col>
      <xdr:colOff>63500</xdr:colOff>
      <xdr:row>20</xdr:row>
      <xdr:rowOff>76200</xdr:rowOff>
    </xdr:to>
    <xdr:sp macro="" textlink="">
      <xdr:nvSpPr>
        <xdr:cNvPr id="29" name="CaixaDeTexto 15">
          <a:extLst>
            <a:ext uri="{FF2B5EF4-FFF2-40B4-BE49-F238E27FC236}">
              <a16:creationId xmlns:a16="http://schemas.microsoft.com/office/drawing/2014/main" id="{02464653-FCEB-CC4B-8121-9B95C98CD487}"/>
            </a:ext>
          </a:extLst>
        </xdr:cNvPr>
        <xdr:cNvSpPr txBox="1"/>
      </xdr:nvSpPr>
      <xdr:spPr>
        <a:xfrm>
          <a:off x="13449300" y="3810000"/>
          <a:ext cx="20701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PT" sz="1600" kern="1200">
              <a:solidFill>
                <a:schemeClr val="bg1"/>
              </a:solidFill>
              <a:latin typeface="NeueHaasGroteskDisp Pro" panose="020B0504020202020204" pitchFamily="34" charset="77"/>
            </a:rPr>
            <a:t>Média de Orçamento</a:t>
          </a:r>
        </a:p>
        <a:p>
          <a:pPr algn="l"/>
          <a:endParaRPr lang="pt-PT" sz="1600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266700</xdr:colOff>
      <xdr:row>20</xdr:row>
      <xdr:rowOff>152400</xdr:rowOff>
    </xdr:from>
    <xdr:to>
      <xdr:col>21</xdr:col>
      <xdr:colOff>228600</xdr:colOff>
      <xdr:row>24</xdr:row>
      <xdr:rowOff>0</xdr:rowOff>
    </xdr:to>
    <xdr:sp macro="" textlink="'Base de Cálculo'!V30">
      <xdr:nvSpPr>
        <xdr:cNvPr id="30" name="CaixaDeTexto 25">
          <a:extLst>
            <a:ext uri="{FF2B5EF4-FFF2-40B4-BE49-F238E27FC236}">
              <a16:creationId xmlns:a16="http://schemas.microsoft.com/office/drawing/2014/main" id="{F95A74BB-D815-094D-B805-46E503AA6918}"/>
            </a:ext>
          </a:extLst>
        </xdr:cNvPr>
        <xdr:cNvSpPr txBox="1"/>
      </xdr:nvSpPr>
      <xdr:spPr>
        <a:xfrm>
          <a:off x="14046200" y="4216400"/>
          <a:ext cx="37592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fld id="{41607C9A-A6F7-E649-B8C0-D57F2E5F0945}" type="TxLink">
            <a:rPr lang="en-US" sz="5400" b="0" i="0" u="none" strike="noStrike" kern="1200">
              <a:solidFill>
                <a:schemeClr val="bg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r"/>
            <a:t> 9 355  € </a:t>
          </a:fld>
          <a:endParaRPr lang="en-US" sz="5400" b="0" i="0" u="none" strike="noStrike" kern="1200">
            <a:solidFill>
              <a:schemeClr val="bg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63500</xdr:colOff>
      <xdr:row>1</xdr:row>
      <xdr:rowOff>63500</xdr:rowOff>
    </xdr:from>
    <xdr:to>
      <xdr:col>17</xdr:col>
      <xdr:colOff>0</xdr:colOff>
      <xdr:row>2</xdr:row>
      <xdr:rowOff>190500</xdr:rowOff>
    </xdr:to>
    <xdr:sp macro="" textlink="">
      <xdr:nvSpPr>
        <xdr:cNvPr id="31" name="CaixaDeTexto 24">
          <a:extLst>
            <a:ext uri="{FF2B5EF4-FFF2-40B4-BE49-F238E27FC236}">
              <a16:creationId xmlns:a16="http://schemas.microsoft.com/office/drawing/2014/main" id="{B129DFD6-657D-1C4E-937E-F940CA211B0A}"/>
            </a:ext>
          </a:extLst>
        </xdr:cNvPr>
        <xdr:cNvSpPr txBox="1"/>
      </xdr:nvSpPr>
      <xdr:spPr>
        <a:xfrm>
          <a:off x="121666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Pendentes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14</xdr:col>
      <xdr:colOff>812800</xdr:colOff>
      <xdr:row>3</xdr:row>
      <xdr:rowOff>50800</xdr:rowOff>
    </xdr:from>
    <xdr:to>
      <xdr:col>16</xdr:col>
      <xdr:colOff>812800</xdr:colOff>
      <xdr:row>6</xdr:row>
      <xdr:rowOff>101600</xdr:rowOff>
    </xdr:to>
    <xdr:sp macro="" textlink="'Base de Cálculo'!F30">
      <xdr:nvSpPr>
        <xdr:cNvPr id="32" name="CaixaDeTexto 25">
          <a:extLst>
            <a:ext uri="{FF2B5EF4-FFF2-40B4-BE49-F238E27FC236}">
              <a16:creationId xmlns:a16="http://schemas.microsoft.com/office/drawing/2014/main" id="{838574A7-7572-EC40-BC90-E3FD86D78DB4}"/>
            </a:ext>
          </a:extLst>
        </xdr:cNvPr>
        <xdr:cNvSpPr txBox="1"/>
      </xdr:nvSpPr>
      <xdr:spPr>
        <a:xfrm>
          <a:off x="12077700" y="6604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88FD64C9-476A-1F4D-BB75-01A79D29704C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4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192398</xdr:colOff>
      <xdr:row>12</xdr:row>
      <xdr:rowOff>155574</xdr:rowOff>
    </xdr:from>
    <xdr:to>
      <xdr:col>5</xdr:col>
      <xdr:colOff>784527</xdr:colOff>
      <xdr:row>26</xdr:row>
      <xdr:rowOff>103817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269FCED6-C3AE-E04B-9771-B36E87EDB1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284145</xdr:colOff>
      <xdr:row>9</xdr:row>
      <xdr:rowOff>25400</xdr:rowOff>
    </xdr:from>
    <xdr:to>
      <xdr:col>24</xdr:col>
      <xdr:colOff>535780</xdr:colOff>
      <xdr:row>26</xdr:row>
      <xdr:rowOff>182602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7B3CF8BA-5425-A766-E8F2-34CA8F0DA4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126999</xdr:colOff>
      <xdr:row>1</xdr:row>
      <xdr:rowOff>101600</xdr:rowOff>
    </xdr:from>
    <xdr:to>
      <xdr:col>3</xdr:col>
      <xdr:colOff>812800</xdr:colOff>
      <xdr:row>3</xdr:row>
      <xdr:rowOff>160445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7B6FB9DC-3E32-4246-AC60-AA43BFB6D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299" y="304800"/>
          <a:ext cx="2362201" cy="465245"/>
        </a:xfrm>
        <a:prstGeom prst="rect">
          <a:avLst/>
        </a:prstGeom>
      </xdr:spPr>
    </xdr:pic>
    <xdr:clientData/>
  </xdr:twoCellAnchor>
  <xdr:twoCellAnchor>
    <xdr:from>
      <xdr:col>8</xdr:col>
      <xdr:colOff>584200</xdr:colOff>
      <xdr:row>1</xdr:row>
      <xdr:rowOff>63500</xdr:rowOff>
    </xdr:from>
    <xdr:to>
      <xdr:col>10</xdr:col>
      <xdr:colOff>520700</xdr:colOff>
      <xdr:row>2</xdr:row>
      <xdr:rowOff>190500</xdr:rowOff>
    </xdr:to>
    <xdr:sp macro="" textlink="">
      <xdr:nvSpPr>
        <xdr:cNvPr id="3" name="CaixaDeTexto 15">
          <a:extLst>
            <a:ext uri="{FF2B5EF4-FFF2-40B4-BE49-F238E27FC236}">
              <a16:creationId xmlns:a16="http://schemas.microsoft.com/office/drawing/2014/main" id="{205C911C-1A81-E849-A239-CA08EADEC82D}"/>
            </a:ext>
          </a:extLst>
        </xdr:cNvPr>
        <xdr:cNvSpPr txBox="1"/>
      </xdr:nvSpPr>
      <xdr:spPr>
        <a:xfrm>
          <a:off x="68199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Pedidos 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10</xdr:col>
      <xdr:colOff>698500</xdr:colOff>
      <xdr:row>1</xdr:row>
      <xdr:rowOff>63500</xdr:rowOff>
    </xdr:from>
    <xdr:to>
      <xdr:col>12</xdr:col>
      <xdr:colOff>635000</xdr:colOff>
      <xdr:row>2</xdr:row>
      <xdr:rowOff>190500</xdr:rowOff>
    </xdr:to>
    <xdr:sp macro="" textlink="">
      <xdr:nvSpPr>
        <xdr:cNvPr id="4" name="CaixaDeTexto 17">
          <a:extLst>
            <a:ext uri="{FF2B5EF4-FFF2-40B4-BE49-F238E27FC236}">
              <a16:creationId xmlns:a16="http://schemas.microsoft.com/office/drawing/2014/main" id="{A1E81B04-2A16-EB47-89B5-B8CCD4382CB9}"/>
            </a:ext>
          </a:extLst>
        </xdr:cNvPr>
        <xdr:cNvSpPr txBox="1"/>
      </xdr:nvSpPr>
      <xdr:spPr>
        <a:xfrm>
          <a:off x="86106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Pedidos Aceites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17</xdr:col>
      <xdr:colOff>342900</xdr:colOff>
      <xdr:row>1</xdr:row>
      <xdr:rowOff>63500</xdr:rowOff>
    </xdr:from>
    <xdr:to>
      <xdr:col>19</xdr:col>
      <xdr:colOff>279400</xdr:colOff>
      <xdr:row>2</xdr:row>
      <xdr:rowOff>190500</xdr:rowOff>
    </xdr:to>
    <xdr:sp macro="" textlink="">
      <xdr:nvSpPr>
        <xdr:cNvPr id="5" name="CaixaDeTexto 18">
          <a:extLst>
            <a:ext uri="{FF2B5EF4-FFF2-40B4-BE49-F238E27FC236}">
              <a16:creationId xmlns:a16="http://schemas.microsoft.com/office/drawing/2014/main" id="{D46F1342-0BCC-9C43-86DA-BE9C5A201BD4}"/>
            </a:ext>
          </a:extLst>
        </xdr:cNvPr>
        <xdr:cNvSpPr txBox="1"/>
      </xdr:nvSpPr>
      <xdr:spPr>
        <a:xfrm>
          <a:off x="141224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Sucesso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19</xdr:col>
      <xdr:colOff>635000</xdr:colOff>
      <xdr:row>1</xdr:row>
      <xdr:rowOff>63500</xdr:rowOff>
    </xdr:from>
    <xdr:to>
      <xdr:col>21</xdr:col>
      <xdr:colOff>114300</xdr:colOff>
      <xdr:row>2</xdr:row>
      <xdr:rowOff>190500</xdr:rowOff>
    </xdr:to>
    <xdr:sp macro="" textlink="">
      <xdr:nvSpPr>
        <xdr:cNvPr id="6" name="CaixaDeTexto 19">
          <a:extLst>
            <a:ext uri="{FF2B5EF4-FFF2-40B4-BE49-F238E27FC236}">
              <a16:creationId xmlns:a16="http://schemas.microsoft.com/office/drawing/2014/main" id="{E5ADBA1B-3F09-DB4A-969F-2BA497787D13}"/>
            </a:ext>
          </a:extLst>
        </xdr:cNvPr>
        <xdr:cNvSpPr txBox="1"/>
      </xdr:nvSpPr>
      <xdr:spPr>
        <a:xfrm>
          <a:off x="16090900" y="266700"/>
          <a:ext cx="16002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Taxa de Rejeição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8</xdr:col>
      <xdr:colOff>558800</xdr:colOff>
      <xdr:row>3</xdr:row>
      <xdr:rowOff>38100</xdr:rowOff>
    </xdr:from>
    <xdr:to>
      <xdr:col>10</xdr:col>
      <xdr:colOff>558800</xdr:colOff>
      <xdr:row>6</xdr:row>
      <xdr:rowOff>88900</xdr:rowOff>
    </xdr:to>
    <xdr:sp macro="" textlink="'Base de Cálculo'!C20">
      <xdr:nvSpPr>
        <xdr:cNvPr id="7" name="CaixaDeTexto 20">
          <a:extLst>
            <a:ext uri="{FF2B5EF4-FFF2-40B4-BE49-F238E27FC236}">
              <a16:creationId xmlns:a16="http://schemas.microsoft.com/office/drawing/2014/main" id="{880B3161-9BFE-4343-A705-C9646052670C}"/>
            </a:ext>
          </a:extLst>
        </xdr:cNvPr>
        <xdr:cNvSpPr txBox="1"/>
      </xdr:nvSpPr>
      <xdr:spPr>
        <a:xfrm>
          <a:off x="6794500" y="6477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33B6D572-9139-4545-95D7-0E1F71EC3AFB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105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622300</xdr:colOff>
      <xdr:row>3</xdr:row>
      <xdr:rowOff>50800</xdr:rowOff>
    </xdr:from>
    <xdr:to>
      <xdr:col>12</xdr:col>
      <xdr:colOff>622300</xdr:colOff>
      <xdr:row>6</xdr:row>
      <xdr:rowOff>101600</xdr:rowOff>
    </xdr:to>
    <xdr:sp macro="" textlink="'Base de Cálculo'!D20">
      <xdr:nvSpPr>
        <xdr:cNvPr id="8" name="CaixaDeTexto 21">
          <a:extLst>
            <a:ext uri="{FF2B5EF4-FFF2-40B4-BE49-F238E27FC236}">
              <a16:creationId xmlns:a16="http://schemas.microsoft.com/office/drawing/2014/main" id="{B485CA4A-E3FA-4245-B547-9E0F076B203D}"/>
            </a:ext>
          </a:extLst>
        </xdr:cNvPr>
        <xdr:cNvSpPr txBox="1"/>
      </xdr:nvSpPr>
      <xdr:spPr>
        <a:xfrm>
          <a:off x="8534400" y="6604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C04AD05E-0E3B-6548-9780-2B2CE2AB5DD2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20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292100</xdr:colOff>
      <xdr:row>3</xdr:row>
      <xdr:rowOff>50800</xdr:rowOff>
    </xdr:from>
    <xdr:to>
      <xdr:col>19</xdr:col>
      <xdr:colOff>406400</xdr:colOff>
      <xdr:row>6</xdr:row>
      <xdr:rowOff>101600</xdr:rowOff>
    </xdr:to>
    <xdr:sp macro="" textlink="'Base de Cálculo'!I20">
      <xdr:nvSpPr>
        <xdr:cNvPr id="9" name="CaixaDeTexto 22">
          <a:extLst>
            <a:ext uri="{FF2B5EF4-FFF2-40B4-BE49-F238E27FC236}">
              <a16:creationId xmlns:a16="http://schemas.microsoft.com/office/drawing/2014/main" id="{7370C15A-09E8-424C-AC0A-E4D3179E48D7}"/>
            </a:ext>
          </a:extLst>
        </xdr:cNvPr>
        <xdr:cNvSpPr txBox="1"/>
      </xdr:nvSpPr>
      <xdr:spPr>
        <a:xfrm>
          <a:off x="14071600" y="660400"/>
          <a:ext cx="17907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1BAF4853-09E2-084A-BCF6-1E28B58DCEBE}" type="TxLink">
            <a:rPr lang="en-US" sz="5400" b="0" i="0" u="none" strike="noStrike" kern="1200">
              <a:solidFill>
                <a:srgbClr val="FC4E02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35%</a:t>
          </a:fld>
          <a:endParaRPr lang="en-US" sz="5400" b="0" i="0" u="none" strike="noStrike" kern="1200">
            <a:solidFill>
              <a:srgbClr val="FC4E02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571500</xdr:colOff>
      <xdr:row>3</xdr:row>
      <xdr:rowOff>50800</xdr:rowOff>
    </xdr:from>
    <xdr:to>
      <xdr:col>21</xdr:col>
      <xdr:colOff>114300</xdr:colOff>
      <xdr:row>6</xdr:row>
      <xdr:rowOff>101600</xdr:rowOff>
    </xdr:to>
    <xdr:sp macro="" textlink="'Base de Cálculo'!J20">
      <xdr:nvSpPr>
        <xdr:cNvPr id="10" name="CaixaDeTexto 23">
          <a:extLst>
            <a:ext uri="{FF2B5EF4-FFF2-40B4-BE49-F238E27FC236}">
              <a16:creationId xmlns:a16="http://schemas.microsoft.com/office/drawing/2014/main" id="{A2A38390-2163-4F4C-84E1-FC37DDCDFAF6}"/>
            </a:ext>
          </a:extLst>
        </xdr:cNvPr>
        <xdr:cNvSpPr txBox="1"/>
      </xdr:nvSpPr>
      <xdr:spPr>
        <a:xfrm>
          <a:off x="16027400" y="660400"/>
          <a:ext cx="16637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FF00227D-27BE-DA46-9F39-8F04A78A93BE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81%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12700</xdr:colOff>
      <xdr:row>1</xdr:row>
      <xdr:rowOff>63500</xdr:rowOff>
    </xdr:from>
    <xdr:to>
      <xdr:col>14</xdr:col>
      <xdr:colOff>774700</xdr:colOff>
      <xdr:row>2</xdr:row>
      <xdr:rowOff>190500</xdr:rowOff>
    </xdr:to>
    <xdr:sp macro="" textlink="">
      <xdr:nvSpPr>
        <xdr:cNvPr id="11" name="CaixaDeTexto 24">
          <a:extLst>
            <a:ext uri="{FF2B5EF4-FFF2-40B4-BE49-F238E27FC236}">
              <a16:creationId xmlns:a16="http://schemas.microsoft.com/office/drawing/2014/main" id="{1894E93B-C569-9147-99CE-063B19C2ED06}"/>
            </a:ext>
          </a:extLst>
        </xdr:cNvPr>
        <xdr:cNvSpPr txBox="1"/>
      </xdr:nvSpPr>
      <xdr:spPr>
        <a:xfrm>
          <a:off x="10439400" y="266700"/>
          <a:ext cx="16002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Novos Clientes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12</xdr:col>
      <xdr:colOff>762000</xdr:colOff>
      <xdr:row>3</xdr:row>
      <xdr:rowOff>50800</xdr:rowOff>
    </xdr:from>
    <xdr:to>
      <xdr:col>14</xdr:col>
      <xdr:colOff>762000</xdr:colOff>
      <xdr:row>6</xdr:row>
      <xdr:rowOff>101600</xdr:rowOff>
    </xdr:to>
    <xdr:sp macro="" textlink="'Base de Cálculo'!G20">
      <xdr:nvSpPr>
        <xdr:cNvPr id="12" name="CaixaDeTexto 25">
          <a:extLst>
            <a:ext uri="{FF2B5EF4-FFF2-40B4-BE49-F238E27FC236}">
              <a16:creationId xmlns:a16="http://schemas.microsoft.com/office/drawing/2014/main" id="{6C3E0C2B-9D9C-D842-B46F-892AFECEAE7A}"/>
            </a:ext>
          </a:extLst>
        </xdr:cNvPr>
        <xdr:cNvSpPr txBox="1"/>
      </xdr:nvSpPr>
      <xdr:spPr>
        <a:xfrm>
          <a:off x="10350500" y="6604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49D3E50A-BF51-6E46-B5F7-063CDD0C5D5D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7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317500</xdr:colOff>
      <xdr:row>13</xdr:row>
      <xdr:rowOff>50800</xdr:rowOff>
    </xdr:from>
    <xdr:to>
      <xdr:col>21</xdr:col>
      <xdr:colOff>12699</xdr:colOff>
      <xdr:row>27</xdr:row>
      <xdr:rowOff>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7112E7FA-DD10-476D-0451-B891C69F52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63500</xdr:colOff>
      <xdr:row>1</xdr:row>
      <xdr:rowOff>63500</xdr:rowOff>
    </xdr:from>
    <xdr:to>
      <xdr:col>17</xdr:col>
      <xdr:colOff>0</xdr:colOff>
      <xdr:row>2</xdr:row>
      <xdr:rowOff>190500</xdr:rowOff>
    </xdr:to>
    <xdr:sp macro="" textlink="">
      <xdr:nvSpPr>
        <xdr:cNvPr id="33" name="CaixaDeTexto 24">
          <a:extLst>
            <a:ext uri="{FF2B5EF4-FFF2-40B4-BE49-F238E27FC236}">
              <a16:creationId xmlns:a16="http://schemas.microsoft.com/office/drawing/2014/main" id="{7A068B71-AE6D-D748-B42F-E14F4E328B11}"/>
            </a:ext>
          </a:extLst>
        </xdr:cNvPr>
        <xdr:cNvSpPr txBox="1"/>
      </xdr:nvSpPr>
      <xdr:spPr>
        <a:xfrm>
          <a:off x="12166600" y="266700"/>
          <a:ext cx="1612900" cy="330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PT" sz="1400" kern="1200">
              <a:solidFill>
                <a:srgbClr val="C3C4C8"/>
              </a:solidFill>
              <a:latin typeface="NeueHaasGroteskDisp Pro" panose="020B0504020202020204" pitchFamily="34" charset="77"/>
            </a:rPr>
            <a:t>Pendentes</a:t>
          </a:r>
        </a:p>
        <a:p>
          <a:pPr algn="ctr"/>
          <a:endParaRPr lang="pt-PT" sz="1400" kern="1200">
            <a:solidFill>
              <a:srgbClr val="C3C4C8"/>
            </a:solidFill>
          </a:endParaRPr>
        </a:p>
      </xdr:txBody>
    </xdr:sp>
    <xdr:clientData/>
  </xdr:twoCellAnchor>
  <xdr:twoCellAnchor>
    <xdr:from>
      <xdr:col>14</xdr:col>
      <xdr:colOff>812800</xdr:colOff>
      <xdr:row>3</xdr:row>
      <xdr:rowOff>50800</xdr:rowOff>
    </xdr:from>
    <xdr:to>
      <xdr:col>16</xdr:col>
      <xdr:colOff>812800</xdr:colOff>
      <xdr:row>6</xdr:row>
      <xdr:rowOff>101600</xdr:rowOff>
    </xdr:to>
    <xdr:sp macro="" textlink="'Base de Cálculo'!F20">
      <xdr:nvSpPr>
        <xdr:cNvPr id="34" name="CaixaDeTexto 25">
          <a:extLst>
            <a:ext uri="{FF2B5EF4-FFF2-40B4-BE49-F238E27FC236}">
              <a16:creationId xmlns:a16="http://schemas.microsoft.com/office/drawing/2014/main" id="{0FF9FCD9-EE8D-FB45-8212-E5215B4F120F}"/>
            </a:ext>
          </a:extLst>
        </xdr:cNvPr>
        <xdr:cNvSpPr txBox="1"/>
      </xdr:nvSpPr>
      <xdr:spPr>
        <a:xfrm>
          <a:off x="12077700" y="660400"/>
          <a:ext cx="1676400" cy="660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F3F6400E-DA51-4344-99AD-C21127C3EA66}" type="TxLink">
            <a:rPr lang="en-US" sz="5400" b="0" i="0" u="none" strike="noStrike" kern="1200">
              <a:solidFill>
                <a:schemeClr val="tx1"/>
              </a:solidFill>
              <a:latin typeface="NeueHaasGroteskDisp Pro" panose="020B0504020202020204" pitchFamily="34" charset="77"/>
              <a:ea typeface="+mn-ea"/>
              <a:cs typeface="+mn-cs"/>
            </a:rPr>
            <a:pPr marL="0" indent="0" algn="ctr"/>
            <a:t>0</a:t>
          </a:fld>
          <a:endParaRPr lang="en-US" sz="5400" b="0" i="0" u="none" strike="noStrike" kern="1200">
            <a:solidFill>
              <a:schemeClr val="tx1"/>
            </a:solidFill>
            <a:latin typeface="NeueHaasGroteskDisp Pro" panose="020B0504020202020204" pitchFamily="34" charset="77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genciasnossa.sharepoint.com/Users/antoniosaraiva/Desktop/NB&#8482;/Nossa%20Ana&#769;lise/Balanc&#807;o&amp;Learnings%202023/Balanc&#807;o_NewBus_23_Finalv2.xlsx" TargetMode="External"/><Relationship Id="rId1" Type="http://schemas.openxmlformats.org/officeDocument/2006/relationships/externalLinkPath" Target="https://agenciasnossa.sharepoint.com/sites/NEWBUSINESS150/Shared%20Documents/NB&#8482;%202026/Nossa%20Ana&#769;lise/Balanc&#807;o&amp;Learnings%202023/Balanc&#807;o_NewBus_23_Final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"/>
      <sheetName val="balanço"/>
      <sheetName val="dados"/>
      <sheetName val="Suggestion1"/>
      <sheetName val="Suggestion2"/>
      <sheetName val="Suggestion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D781-678B-E648-95B1-30405DEBFCA8}">
  <sheetPr codeName="Sheet1"/>
  <dimension ref="A1:AC1001"/>
  <sheetViews>
    <sheetView showGridLines="0" topLeftCell="C1" workbookViewId="0">
      <pane ySplit="5" topLeftCell="A6" activePane="bottomLeft" state="frozen"/>
      <selection pane="bottomLeft" activeCell="P22" sqref="P22"/>
    </sheetView>
  </sheetViews>
  <sheetFormatPr baseColWidth="10" defaultColWidth="11.1640625" defaultRowHeight="15" customHeight="1"/>
  <cols>
    <col min="1" max="1" width="3" customWidth="1"/>
    <col min="2" max="2" width="9" customWidth="1"/>
    <col min="3" max="3" width="49.83203125" bestFit="1" customWidth="1"/>
    <col min="4" max="6" width="24.83203125" customWidth="1"/>
    <col min="7" max="7" width="16.1640625" customWidth="1"/>
    <col min="8" max="8" width="13.83203125" customWidth="1"/>
    <col min="9" max="9" width="15.33203125" customWidth="1"/>
    <col min="10" max="10" width="23.33203125" style="62" customWidth="1"/>
    <col min="11" max="11" width="14.1640625" style="62" customWidth="1"/>
    <col min="12" max="12" width="17.33203125" style="142" customWidth="1"/>
    <col min="13" max="13" width="57.33203125" customWidth="1"/>
    <col min="14" max="14" width="2" customWidth="1"/>
    <col min="15" max="15" width="13.1640625" customWidth="1"/>
    <col min="16" max="29" width="10.5" customWidth="1"/>
  </cols>
  <sheetData>
    <row r="1" spans="1:29" ht="30.75" customHeight="1">
      <c r="A1" s="1"/>
      <c r="B1" s="1"/>
      <c r="C1" s="1"/>
      <c r="D1" s="1" t="s">
        <v>0</v>
      </c>
      <c r="E1" s="1" t="s">
        <v>0</v>
      </c>
      <c r="F1" s="1" t="s">
        <v>0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42.75" customHeight="1">
      <c r="A2" s="1"/>
      <c r="B2" s="2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21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0.5" customHeight="1">
      <c r="J4"/>
      <c r="K4"/>
      <c r="L4"/>
    </row>
    <row r="5" spans="1:29" ht="30" customHeight="1">
      <c r="A5" s="3"/>
      <c r="B5" s="3"/>
      <c r="C5" s="4" t="s">
        <v>2</v>
      </c>
      <c r="D5" s="4" t="s">
        <v>3</v>
      </c>
      <c r="E5" s="4" t="s">
        <v>4</v>
      </c>
      <c r="F5" s="4" t="s">
        <v>5</v>
      </c>
      <c r="G5" s="5" t="s">
        <v>6</v>
      </c>
      <c r="H5" s="5" t="s">
        <v>7</v>
      </c>
      <c r="I5" s="4" t="s">
        <v>8</v>
      </c>
      <c r="J5" s="4" t="s">
        <v>9</v>
      </c>
      <c r="K5" s="4" t="s">
        <v>10</v>
      </c>
      <c r="L5" s="4" t="s">
        <v>11</v>
      </c>
      <c r="M5" s="6" t="s">
        <v>12</v>
      </c>
      <c r="N5" s="3"/>
      <c r="O5" s="3"/>
      <c r="P5" s="3"/>
      <c r="Q5" s="3" t="s">
        <v>13</v>
      </c>
      <c r="R5" s="3" t="s">
        <v>14</v>
      </c>
      <c r="S5" s="3" t="s">
        <v>15</v>
      </c>
      <c r="T5" s="3" t="s">
        <v>16</v>
      </c>
      <c r="U5" s="3"/>
      <c r="V5" s="3"/>
      <c r="W5" s="3"/>
      <c r="X5" s="3"/>
      <c r="Y5" s="3"/>
      <c r="Z5" s="3"/>
      <c r="AA5" s="3"/>
      <c r="AB5" s="3"/>
      <c r="AC5" s="3"/>
    </row>
    <row r="6" spans="1:29" ht="27.75" customHeight="1">
      <c r="A6" s="3"/>
      <c r="B6" s="7"/>
      <c r="C6" s="8" t="s">
        <v>17</v>
      </c>
      <c r="D6" s="8" t="s">
        <v>18</v>
      </c>
      <c r="E6" s="8" t="s">
        <v>19</v>
      </c>
      <c r="F6" s="8" t="s">
        <v>20</v>
      </c>
      <c r="G6" s="24" t="s">
        <v>21</v>
      </c>
      <c r="H6" s="24" t="s">
        <v>22</v>
      </c>
      <c r="I6" s="8" t="s">
        <v>23</v>
      </c>
      <c r="J6" s="61"/>
      <c r="K6" s="146"/>
      <c r="L6" s="140"/>
      <c r="M6" s="10"/>
      <c r="N6" s="3"/>
      <c r="O6" s="3"/>
      <c r="P6" s="3"/>
      <c r="Q6" s="11" t="s">
        <v>24</v>
      </c>
      <c r="R6" s="8" t="s">
        <v>23</v>
      </c>
      <c r="S6" s="11" t="s">
        <v>19</v>
      </c>
      <c r="T6" s="12" t="s">
        <v>25</v>
      </c>
      <c r="U6" s="3"/>
      <c r="V6" s="3"/>
      <c r="W6" s="3"/>
      <c r="X6" s="3"/>
      <c r="Y6" s="3"/>
      <c r="Z6" s="3"/>
      <c r="AA6" s="3"/>
      <c r="AB6" s="3"/>
      <c r="AC6" s="3"/>
    </row>
    <row r="7" spans="1:29" ht="27.75" customHeight="1">
      <c r="A7" s="3"/>
      <c r="B7" s="7"/>
      <c r="C7" s="8" t="s">
        <v>26</v>
      </c>
      <c r="D7" s="8" t="s">
        <v>27</v>
      </c>
      <c r="E7" s="8" t="s">
        <v>28</v>
      </c>
      <c r="F7" s="8" t="s">
        <v>20</v>
      </c>
      <c r="G7" s="24" t="s">
        <v>29</v>
      </c>
      <c r="H7" s="24" t="s">
        <v>22</v>
      </c>
      <c r="I7" s="8" t="s">
        <v>23</v>
      </c>
      <c r="J7" s="61">
        <f>50000+19500</f>
        <v>69500</v>
      </c>
      <c r="K7" s="146"/>
      <c r="L7" s="148">
        <v>2</v>
      </c>
      <c r="M7" s="10"/>
      <c r="N7" s="3"/>
      <c r="O7" s="3"/>
      <c r="P7" s="3"/>
      <c r="Q7" s="11" t="s">
        <v>30</v>
      </c>
      <c r="R7" s="8" t="s">
        <v>31</v>
      </c>
      <c r="S7" s="11" t="s">
        <v>28</v>
      </c>
      <c r="T7" s="12" t="s">
        <v>32</v>
      </c>
      <c r="U7" s="3"/>
      <c r="V7" s="3"/>
      <c r="W7" s="3"/>
      <c r="X7" s="3"/>
      <c r="Y7" s="3"/>
      <c r="Z7" s="3"/>
      <c r="AA7" s="3"/>
      <c r="AB7" s="3"/>
      <c r="AC7" s="3"/>
    </row>
    <row r="8" spans="1:29" ht="27.75" customHeight="1">
      <c r="A8" s="3"/>
      <c r="B8" s="7"/>
      <c r="C8" s="50" t="s">
        <v>33</v>
      </c>
      <c r="D8" s="8"/>
      <c r="E8" s="8" t="s">
        <v>19</v>
      </c>
      <c r="F8" s="8" t="s">
        <v>25</v>
      </c>
      <c r="G8" s="24" t="s">
        <v>34</v>
      </c>
      <c r="H8" s="24" t="s">
        <v>22</v>
      </c>
      <c r="I8" s="8" t="s">
        <v>23</v>
      </c>
      <c r="J8" s="61">
        <v>9057</v>
      </c>
      <c r="K8" s="146">
        <f>J8/2*12</f>
        <v>54342</v>
      </c>
      <c r="L8" s="148">
        <v>2</v>
      </c>
      <c r="M8" s="10"/>
      <c r="N8" s="3"/>
      <c r="O8" s="3"/>
      <c r="P8" s="3"/>
      <c r="Q8" s="11" t="s">
        <v>35</v>
      </c>
      <c r="R8" s="8" t="s">
        <v>36</v>
      </c>
      <c r="S8" s="13"/>
      <c r="T8" s="12" t="s">
        <v>20</v>
      </c>
      <c r="U8" s="3"/>
      <c r="V8" s="3"/>
      <c r="W8" s="3"/>
      <c r="X8" s="3"/>
      <c r="Y8" s="3"/>
      <c r="Z8" s="3"/>
      <c r="AA8" s="3"/>
      <c r="AB8" s="3"/>
      <c r="AC8" s="3"/>
    </row>
    <row r="9" spans="1:29" ht="27.75" customHeight="1">
      <c r="A9" s="3"/>
      <c r="B9" s="7"/>
      <c r="C9" s="50" t="s">
        <v>37</v>
      </c>
      <c r="D9" s="8"/>
      <c r="E9" s="8" t="s">
        <v>19</v>
      </c>
      <c r="F9" s="8" t="s">
        <v>25</v>
      </c>
      <c r="G9" s="24" t="s">
        <v>34</v>
      </c>
      <c r="H9" s="24" t="s">
        <v>22</v>
      </c>
      <c r="I9" s="8" t="s">
        <v>23</v>
      </c>
      <c r="J9" s="61">
        <v>1890</v>
      </c>
      <c r="K9" s="146">
        <f>J9/2*12</f>
        <v>11340</v>
      </c>
      <c r="L9" s="147">
        <v>3</v>
      </c>
      <c r="M9" s="17"/>
      <c r="N9" s="3"/>
      <c r="O9" s="3"/>
      <c r="P9" s="3"/>
      <c r="Q9" s="14" t="s">
        <v>38</v>
      </c>
      <c r="R9" s="8" t="s">
        <v>39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ht="27.75" customHeight="1">
      <c r="A10" s="3"/>
      <c r="B10" s="7"/>
      <c r="C10" s="8" t="s">
        <v>40</v>
      </c>
      <c r="D10" s="8" t="s">
        <v>41</v>
      </c>
      <c r="E10" s="8" t="s">
        <v>28</v>
      </c>
      <c r="F10" s="8" t="s">
        <v>25</v>
      </c>
      <c r="G10" s="24" t="s">
        <v>34</v>
      </c>
      <c r="H10" s="24" t="s">
        <v>22</v>
      </c>
      <c r="I10" s="8" t="s">
        <v>23</v>
      </c>
      <c r="J10" s="61">
        <v>12500</v>
      </c>
      <c r="K10" s="146">
        <f>J10/2*12</f>
        <v>75000</v>
      </c>
      <c r="L10" s="148">
        <v>2</v>
      </c>
      <c r="M10" s="10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spans="1:29" ht="27.75" customHeight="1">
      <c r="A11" s="3"/>
      <c r="B11" s="7"/>
      <c r="C11" s="8" t="s">
        <v>42</v>
      </c>
      <c r="D11" s="8" t="s">
        <v>27</v>
      </c>
      <c r="E11" s="8" t="s">
        <v>28</v>
      </c>
      <c r="F11" s="8" t="s">
        <v>25</v>
      </c>
      <c r="G11" s="24" t="s">
        <v>29</v>
      </c>
      <c r="H11" s="24" t="s">
        <v>22</v>
      </c>
      <c r="I11" s="8" t="s">
        <v>23</v>
      </c>
      <c r="J11" s="61">
        <v>3518</v>
      </c>
      <c r="K11" s="146">
        <f>J11/3*12</f>
        <v>14072</v>
      </c>
      <c r="L11" s="147">
        <v>3</v>
      </c>
      <c r="M11" s="10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29" ht="27.75" customHeight="1">
      <c r="A12" s="3"/>
      <c r="B12" s="7"/>
      <c r="C12" s="8" t="s">
        <v>43</v>
      </c>
      <c r="D12" s="8" t="s">
        <v>27</v>
      </c>
      <c r="E12" s="8" t="s">
        <v>19</v>
      </c>
      <c r="F12" s="8" t="s">
        <v>20</v>
      </c>
      <c r="G12" s="24" t="s">
        <v>44</v>
      </c>
      <c r="H12" s="24" t="s">
        <v>45</v>
      </c>
      <c r="I12" s="8" t="s">
        <v>23</v>
      </c>
      <c r="J12" s="61">
        <v>800</v>
      </c>
      <c r="K12" s="146"/>
      <c r="L12" s="147">
        <v>3</v>
      </c>
      <c r="M12" s="17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29" ht="27.75" customHeight="1">
      <c r="A13" s="3"/>
      <c r="B13" s="7"/>
      <c r="C13" s="8" t="s">
        <v>46</v>
      </c>
      <c r="D13" s="8" t="s">
        <v>18</v>
      </c>
      <c r="E13" s="8" t="s">
        <v>19</v>
      </c>
      <c r="F13" s="8" t="s">
        <v>47</v>
      </c>
      <c r="G13" s="24" t="s">
        <v>48</v>
      </c>
      <c r="H13" s="24" t="s">
        <v>45</v>
      </c>
      <c r="I13" s="8" t="s">
        <v>23</v>
      </c>
      <c r="J13" s="61" t="s">
        <v>49</v>
      </c>
      <c r="K13" s="146"/>
      <c r="L13" s="140"/>
      <c r="M13" s="17"/>
      <c r="N13" s="3"/>
      <c r="O13" s="3"/>
      <c r="P13" s="3"/>
      <c r="Q13" s="15" t="s">
        <v>50</v>
      </c>
      <c r="R13" s="3">
        <f>COUNTIF(I6:I79, R6)+COUNTIF(I6:I79,R7)+COUNTIF(I6:I79,R8)</f>
        <v>60</v>
      </c>
      <c r="S13" s="3"/>
      <c r="T13" s="14" t="s">
        <v>51</v>
      </c>
      <c r="U13" s="3">
        <f>COUNTIF(I6:I79,R6)</f>
        <v>23</v>
      </c>
      <c r="V13" s="16">
        <f>U13/R13</f>
        <v>0.38333333333333336</v>
      </c>
      <c r="W13" s="3"/>
      <c r="X13" s="3"/>
      <c r="Y13" s="3"/>
      <c r="Z13" s="3"/>
      <c r="AA13" s="3"/>
      <c r="AB13" s="3"/>
      <c r="AC13" s="3"/>
    </row>
    <row r="14" spans="1:29" ht="27.75" customHeight="1">
      <c r="A14" s="3"/>
      <c r="B14" s="7"/>
      <c r="C14" s="50" t="s">
        <v>52</v>
      </c>
      <c r="D14" s="8"/>
      <c r="E14" s="8"/>
      <c r="F14" s="8" t="s">
        <v>25</v>
      </c>
      <c r="G14" s="24" t="s">
        <v>48</v>
      </c>
      <c r="H14" s="24" t="s">
        <v>45</v>
      </c>
      <c r="I14" s="8" t="s">
        <v>23</v>
      </c>
      <c r="J14" s="61" t="s">
        <v>49</v>
      </c>
      <c r="K14" s="146"/>
      <c r="L14" s="140"/>
      <c r="M14" s="17"/>
      <c r="N14" s="3"/>
      <c r="O14" s="3"/>
      <c r="P14" s="3"/>
      <c r="Q14" s="15" t="s">
        <v>53</v>
      </c>
      <c r="R14" s="14">
        <f>COUNTIF(I6:I79,R9)</f>
        <v>5</v>
      </c>
      <c r="S14" s="3"/>
      <c r="T14" s="14" t="s">
        <v>54</v>
      </c>
      <c r="U14" s="3">
        <f>COUNTIF(I6:I79,R7)</f>
        <v>37</v>
      </c>
      <c r="V14" s="16">
        <f>U14/R13</f>
        <v>0.6166666666666667</v>
      </c>
      <c r="W14" s="3"/>
      <c r="X14" s="3"/>
      <c r="Y14" s="3"/>
      <c r="Z14" s="3"/>
      <c r="AA14" s="3"/>
      <c r="AB14" s="3"/>
      <c r="AC14" s="3"/>
    </row>
    <row r="15" spans="1:29" ht="27.75" customHeight="1">
      <c r="A15" s="3"/>
      <c r="B15" s="7"/>
      <c r="C15" s="8" t="s">
        <v>55</v>
      </c>
      <c r="D15" s="8" t="s">
        <v>56</v>
      </c>
      <c r="E15" s="8" t="s">
        <v>19</v>
      </c>
      <c r="F15" s="8" t="s">
        <v>25</v>
      </c>
      <c r="G15" s="24" t="s">
        <v>44</v>
      </c>
      <c r="H15" s="24" t="s">
        <v>45</v>
      </c>
      <c r="I15" s="8" t="s">
        <v>23</v>
      </c>
      <c r="J15" s="61" t="s">
        <v>49</v>
      </c>
      <c r="K15" s="146"/>
      <c r="L15" s="148">
        <v>2</v>
      </c>
      <c r="M15" s="17"/>
      <c r="N15" s="3"/>
      <c r="O15" s="3"/>
      <c r="P15" s="3"/>
      <c r="Q15" s="3"/>
      <c r="R15" s="3"/>
      <c r="S15" s="3"/>
      <c r="T15" s="14"/>
      <c r="U15" s="3"/>
      <c r="V15" s="3"/>
      <c r="W15" s="3"/>
      <c r="X15" s="3"/>
      <c r="Y15" s="3"/>
      <c r="Z15" s="3"/>
      <c r="AA15" s="3"/>
      <c r="AB15" s="3"/>
      <c r="AC15" s="3"/>
    </row>
    <row r="16" spans="1:29" ht="27.75" customHeight="1">
      <c r="A16" s="3"/>
      <c r="B16" s="7"/>
      <c r="C16" s="8" t="s">
        <v>57</v>
      </c>
      <c r="D16" s="8"/>
      <c r="E16" s="8"/>
      <c r="F16" s="8" t="s">
        <v>25</v>
      </c>
      <c r="G16" s="24" t="s">
        <v>44</v>
      </c>
      <c r="H16" s="24" t="s">
        <v>45</v>
      </c>
      <c r="I16" s="8" t="s">
        <v>23</v>
      </c>
      <c r="J16" s="61"/>
      <c r="K16" s="146"/>
      <c r="L16" s="140"/>
      <c r="M16" s="17"/>
      <c r="N16" s="3"/>
      <c r="O16" s="3"/>
      <c r="P16" s="3"/>
      <c r="Q16" s="3"/>
      <c r="R16" s="3"/>
      <c r="S16" s="3"/>
      <c r="T16" s="14" t="s">
        <v>36</v>
      </c>
      <c r="U16" s="3">
        <f>COUNTIF(I6:I79,R8)</f>
        <v>0</v>
      </c>
      <c r="V16" s="3"/>
      <c r="W16" s="3"/>
      <c r="X16" s="3"/>
      <c r="Y16" s="3"/>
      <c r="Z16" s="3"/>
      <c r="AA16" s="3"/>
      <c r="AB16" s="3"/>
      <c r="AC16" s="3"/>
    </row>
    <row r="17" spans="1:29" ht="27.75" customHeight="1">
      <c r="A17" s="3"/>
      <c r="B17" s="7"/>
      <c r="C17" s="8" t="s">
        <v>58</v>
      </c>
      <c r="D17" s="8" t="s">
        <v>27</v>
      </c>
      <c r="E17" s="8" t="s">
        <v>19</v>
      </c>
      <c r="F17" s="8" t="s">
        <v>25</v>
      </c>
      <c r="G17" s="24" t="s">
        <v>59</v>
      </c>
      <c r="H17" s="24" t="s">
        <v>45</v>
      </c>
      <c r="I17" s="8" t="s">
        <v>23</v>
      </c>
      <c r="J17" s="61" t="s">
        <v>49</v>
      </c>
      <c r="K17" s="146"/>
      <c r="L17" s="140"/>
      <c r="M17" s="17"/>
      <c r="N17" s="3"/>
      <c r="O17" s="3"/>
      <c r="P17" s="3"/>
      <c r="Q17" s="15" t="s">
        <v>60</v>
      </c>
      <c r="R17" s="3">
        <f>COUNTA(I6:I158)</f>
        <v>68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ht="27.75" customHeight="1">
      <c r="A18" s="3"/>
      <c r="B18" s="7"/>
      <c r="C18" s="50" t="s">
        <v>61</v>
      </c>
      <c r="D18" s="8"/>
      <c r="E18" s="8"/>
      <c r="F18" s="8" t="s">
        <v>25</v>
      </c>
      <c r="G18" s="24" t="s">
        <v>59</v>
      </c>
      <c r="H18" s="24" t="s">
        <v>45</v>
      </c>
      <c r="I18" s="8" t="s">
        <v>23</v>
      </c>
      <c r="J18" s="61">
        <v>7500</v>
      </c>
      <c r="K18" s="146">
        <f>J18/3*12</f>
        <v>30000</v>
      </c>
      <c r="L18" s="147">
        <v>3</v>
      </c>
      <c r="M18" s="17"/>
      <c r="N18" s="3"/>
      <c r="O18" s="3"/>
      <c r="P18" s="3">
        <v>17</v>
      </c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ht="27.75" customHeight="1">
      <c r="A19" s="3"/>
      <c r="B19" s="7"/>
      <c r="C19" s="50" t="s">
        <v>62</v>
      </c>
      <c r="D19" s="8"/>
      <c r="E19" s="8"/>
      <c r="F19" s="8" t="s">
        <v>25</v>
      </c>
      <c r="G19" s="24" t="s">
        <v>59</v>
      </c>
      <c r="H19" s="24" t="s">
        <v>45</v>
      </c>
      <c r="I19" s="8" t="s">
        <v>23</v>
      </c>
      <c r="J19" s="61">
        <v>35065</v>
      </c>
      <c r="K19" s="146">
        <f>J19/4*12</f>
        <v>105195</v>
      </c>
      <c r="L19" s="148">
        <v>2</v>
      </c>
      <c r="M19" s="10"/>
      <c r="N19" s="3"/>
      <c r="O19" s="3" t="s">
        <v>63</v>
      </c>
      <c r="P19" s="3">
        <v>2</v>
      </c>
      <c r="Q19" s="3">
        <f>P19/P18</f>
        <v>0.11764705882352941</v>
      </c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ht="27.75" customHeight="1">
      <c r="A20" s="3"/>
      <c r="B20" s="7"/>
      <c r="C20" s="8" t="s">
        <v>64</v>
      </c>
      <c r="D20" s="8" t="s">
        <v>27</v>
      </c>
      <c r="E20" s="8" t="s">
        <v>28</v>
      </c>
      <c r="F20" s="8" t="s">
        <v>32</v>
      </c>
      <c r="G20" s="24" t="s">
        <v>44</v>
      </c>
      <c r="H20" s="24" t="s">
        <v>45</v>
      </c>
      <c r="I20" s="8" t="s">
        <v>23</v>
      </c>
      <c r="J20" s="61">
        <f>2100+(17450/12)</f>
        <v>3554.166666666667</v>
      </c>
      <c r="K20" s="146">
        <f>J20*12</f>
        <v>42650</v>
      </c>
      <c r="L20" s="279">
        <v>2</v>
      </c>
      <c r="M20" s="10"/>
      <c r="N20" s="3"/>
      <c r="O20" s="3" t="s">
        <v>65</v>
      </c>
      <c r="P20" s="3">
        <v>10</v>
      </c>
      <c r="Q20" s="3">
        <f>P20/P18</f>
        <v>0.58823529411764708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ht="27.75" customHeight="1">
      <c r="A21" s="14" t="s">
        <v>66</v>
      </c>
      <c r="B21" s="7"/>
      <c r="C21" s="8" t="s">
        <v>67</v>
      </c>
      <c r="D21" s="8" t="s">
        <v>27</v>
      </c>
      <c r="E21" s="8" t="s">
        <v>28</v>
      </c>
      <c r="F21" s="8" t="s">
        <v>20</v>
      </c>
      <c r="G21" s="24" t="s">
        <v>68</v>
      </c>
      <c r="H21" s="24" t="s">
        <v>69</v>
      </c>
      <c r="I21" s="8" t="s">
        <v>23</v>
      </c>
      <c r="J21" s="61">
        <v>20500</v>
      </c>
      <c r="K21" s="146">
        <f>J21*12</f>
        <v>246000</v>
      </c>
      <c r="L21" s="149">
        <v>1</v>
      </c>
      <c r="M21" s="17"/>
      <c r="N21" s="3"/>
      <c r="O21" s="3" t="s">
        <v>70</v>
      </c>
      <c r="P21" s="3">
        <v>5</v>
      </c>
      <c r="Q21" s="3">
        <f>P21/P18</f>
        <v>0.29411764705882354</v>
      </c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ht="27.75" customHeight="1">
      <c r="A22" s="3"/>
      <c r="B22" s="7"/>
      <c r="C22" s="8" t="s">
        <v>71</v>
      </c>
      <c r="D22" s="8" t="s">
        <v>27</v>
      </c>
      <c r="E22" s="8" t="s">
        <v>27</v>
      </c>
      <c r="F22" s="8" t="s">
        <v>20</v>
      </c>
      <c r="G22" s="24" t="s">
        <v>68</v>
      </c>
      <c r="H22" s="24" t="s">
        <v>69</v>
      </c>
      <c r="I22" s="8" t="s">
        <v>23</v>
      </c>
      <c r="J22" s="61">
        <v>14000</v>
      </c>
      <c r="K22" s="146">
        <f>J22/2*12</f>
        <v>84000</v>
      </c>
      <c r="L22" s="148">
        <v>2</v>
      </c>
      <c r="M22" s="17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ht="27.75" customHeight="1">
      <c r="A23" s="3"/>
      <c r="B23" s="7"/>
      <c r="C23" s="8" t="s">
        <v>72</v>
      </c>
      <c r="D23" s="8" t="s">
        <v>27</v>
      </c>
      <c r="E23" s="8" t="s">
        <v>19</v>
      </c>
      <c r="F23" s="8" t="s">
        <v>20</v>
      </c>
      <c r="G23" s="24" t="s">
        <v>73</v>
      </c>
      <c r="H23" s="24" t="s">
        <v>69</v>
      </c>
      <c r="I23" s="8" t="s">
        <v>23</v>
      </c>
      <c r="J23" s="61">
        <v>23500</v>
      </c>
      <c r="K23" s="146">
        <f>J23/3*12</f>
        <v>94000</v>
      </c>
      <c r="L23" s="148">
        <v>2</v>
      </c>
      <c r="M23" s="17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ht="27.75" customHeight="1">
      <c r="A24" s="3"/>
      <c r="B24" s="7"/>
      <c r="C24" s="8" t="s">
        <v>74</v>
      </c>
      <c r="D24" s="8"/>
      <c r="E24" s="8"/>
      <c r="F24" s="8" t="s">
        <v>25</v>
      </c>
      <c r="G24" s="24" t="s">
        <v>75</v>
      </c>
      <c r="H24" s="24" t="s">
        <v>69</v>
      </c>
      <c r="I24" s="8" t="s">
        <v>23</v>
      </c>
      <c r="J24" s="61">
        <v>2700</v>
      </c>
      <c r="K24" s="146">
        <f>J24/3*12</f>
        <v>10800</v>
      </c>
      <c r="L24" s="147">
        <v>3</v>
      </c>
      <c r="M24" s="17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ht="27.75" customHeight="1">
      <c r="A25" s="3"/>
      <c r="B25" s="7"/>
      <c r="C25" s="8" t="s">
        <v>76</v>
      </c>
      <c r="D25" s="8" t="s">
        <v>77</v>
      </c>
      <c r="E25" s="8" t="s">
        <v>19</v>
      </c>
      <c r="F25" s="8" t="s">
        <v>25</v>
      </c>
      <c r="G25" s="24" t="s">
        <v>75</v>
      </c>
      <c r="H25" s="24" t="s">
        <v>69</v>
      </c>
      <c r="I25" s="8" t="s">
        <v>23</v>
      </c>
      <c r="J25" s="61">
        <v>21690</v>
      </c>
      <c r="K25" s="146">
        <f>J25/3*12</f>
        <v>86760</v>
      </c>
      <c r="L25" s="148">
        <v>2</v>
      </c>
      <c r="M25" s="10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ht="27.75" customHeight="1">
      <c r="A26" s="3"/>
      <c r="B26" s="7"/>
      <c r="C26" s="8" t="s">
        <v>78</v>
      </c>
      <c r="D26" s="8"/>
      <c r="E26" s="8"/>
      <c r="F26" s="8" t="s">
        <v>25</v>
      </c>
      <c r="G26" s="24" t="s">
        <v>75</v>
      </c>
      <c r="H26" s="24" t="s">
        <v>69</v>
      </c>
      <c r="I26" s="8" t="s">
        <v>23</v>
      </c>
      <c r="L26" s="140"/>
      <c r="M26" s="10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ht="27.75" customHeight="1">
      <c r="A27" s="3"/>
      <c r="B27" s="7"/>
      <c r="C27" s="8" t="s">
        <v>79</v>
      </c>
      <c r="D27" s="8" t="s">
        <v>77</v>
      </c>
      <c r="E27" s="8" t="s">
        <v>19</v>
      </c>
      <c r="F27" s="8" t="s">
        <v>25</v>
      </c>
      <c r="G27" s="24" t="s">
        <v>75</v>
      </c>
      <c r="H27" s="24" t="s">
        <v>69</v>
      </c>
      <c r="I27" s="8" t="s">
        <v>23</v>
      </c>
      <c r="J27" s="61">
        <v>6130</v>
      </c>
      <c r="K27" s="146">
        <f>J27*12</f>
        <v>73560</v>
      </c>
      <c r="L27" s="148">
        <v>2</v>
      </c>
      <c r="M27" s="17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ht="27.75" customHeight="1">
      <c r="A28" s="3"/>
      <c r="B28" s="7"/>
      <c r="C28" s="8" t="s">
        <v>80</v>
      </c>
      <c r="D28" s="8" t="s">
        <v>18</v>
      </c>
      <c r="E28" s="8" t="s">
        <v>19</v>
      </c>
      <c r="F28" s="8" t="s">
        <v>20</v>
      </c>
      <c r="G28" s="24" t="s">
        <v>81</v>
      </c>
      <c r="H28" s="24" t="s">
        <v>82</v>
      </c>
      <c r="I28" s="8" t="s">
        <v>23</v>
      </c>
      <c r="J28" s="61">
        <v>18200</v>
      </c>
      <c r="K28" s="146">
        <f>J28*12</f>
        <v>218400</v>
      </c>
      <c r="L28" s="149">
        <v>1</v>
      </c>
      <c r="M28" s="10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ht="27.75" customHeight="1">
      <c r="A29" s="3"/>
      <c r="B29" s="7"/>
      <c r="C29" s="8" t="s">
        <v>83</v>
      </c>
      <c r="D29" s="8" t="s">
        <v>27</v>
      </c>
      <c r="E29" s="8" t="s">
        <v>19</v>
      </c>
      <c r="F29" s="8" t="s">
        <v>20</v>
      </c>
      <c r="G29" s="24" t="s">
        <v>34</v>
      </c>
      <c r="H29" s="24" t="s">
        <v>22</v>
      </c>
      <c r="I29" s="145" t="s">
        <v>31</v>
      </c>
      <c r="J29" s="61"/>
      <c r="K29" s="146"/>
      <c r="L29" s="140"/>
      <c r="M29" s="10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ht="27.75" customHeight="1">
      <c r="A30" s="3"/>
      <c r="B30" s="7"/>
      <c r="C30" s="8" t="s">
        <v>84</v>
      </c>
      <c r="D30" s="8" t="s">
        <v>32</v>
      </c>
      <c r="E30" s="8" t="s">
        <v>19</v>
      </c>
      <c r="F30" s="8" t="s">
        <v>20</v>
      </c>
      <c r="G30" s="24" t="s">
        <v>21</v>
      </c>
      <c r="H30" s="24" t="s">
        <v>22</v>
      </c>
      <c r="I30" s="8" t="s">
        <v>31</v>
      </c>
      <c r="J30" s="61"/>
      <c r="K30" s="146"/>
      <c r="L30" s="140"/>
      <c r="M30" s="10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ht="27.75" customHeight="1">
      <c r="A31" s="3"/>
      <c r="B31" s="7"/>
      <c r="C31" s="8" t="s">
        <v>85</v>
      </c>
      <c r="D31" s="8" t="s">
        <v>27</v>
      </c>
      <c r="E31" s="8"/>
      <c r="F31" s="8" t="s">
        <v>20</v>
      </c>
      <c r="G31" s="24" t="s">
        <v>34</v>
      </c>
      <c r="H31" s="24" t="s">
        <v>22</v>
      </c>
      <c r="I31" s="8" t="s">
        <v>31</v>
      </c>
      <c r="J31" s="61"/>
      <c r="K31" s="146"/>
      <c r="L31" s="140"/>
      <c r="M31" s="10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ht="27.75" customHeight="1">
      <c r="A32" s="3"/>
      <c r="B32" s="7"/>
      <c r="C32" s="8" t="s">
        <v>86</v>
      </c>
      <c r="D32" s="8" t="s">
        <v>87</v>
      </c>
      <c r="E32" s="8" t="s">
        <v>28</v>
      </c>
      <c r="F32" s="8" t="s">
        <v>20</v>
      </c>
      <c r="G32" s="24" t="s">
        <v>29</v>
      </c>
      <c r="H32" s="24" t="s">
        <v>22</v>
      </c>
      <c r="I32" s="8" t="s">
        <v>31</v>
      </c>
      <c r="J32" s="61"/>
      <c r="K32" s="146"/>
      <c r="L32" s="140"/>
      <c r="M32" s="10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ht="27.75" customHeight="1">
      <c r="A33" s="3"/>
      <c r="B33" s="7"/>
      <c r="C33" s="8" t="s">
        <v>88</v>
      </c>
      <c r="D33" s="8" t="s">
        <v>27</v>
      </c>
      <c r="E33" s="8" t="s">
        <v>28</v>
      </c>
      <c r="F33" s="8" t="s">
        <v>20</v>
      </c>
      <c r="G33" s="24" t="s">
        <v>29</v>
      </c>
      <c r="H33" s="24" t="s">
        <v>22</v>
      </c>
      <c r="I33" s="8" t="s">
        <v>31</v>
      </c>
      <c r="J33" s="61"/>
      <c r="K33" s="146"/>
      <c r="L33" s="140"/>
      <c r="M33" s="10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ht="27.75" customHeight="1">
      <c r="A34" s="3"/>
      <c r="B34" s="7"/>
      <c r="C34" s="8" t="s">
        <v>89</v>
      </c>
      <c r="D34" s="8" t="s">
        <v>18</v>
      </c>
      <c r="E34" s="8" t="s">
        <v>19</v>
      </c>
      <c r="F34" s="8" t="s">
        <v>25</v>
      </c>
      <c r="G34" s="24" t="s">
        <v>29</v>
      </c>
      <c r="H34" s="24" t="s">
        <v>22</v>
      </c>
      <c r="I34" s="8" t="s">
        <v>31</v>
      </c>
      <c r="J34" s="61"/>
      <c r="K34" s="146"/>
      <c r="L34" s="140"/>
      <c r="M34" s="17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spans="1:29" ht="27.75" customHeight="1">
      <c r="A35" s="3"/>
      <c r="B35" s="7"/>
      <c r="C35" s="50" t="s">
        <v>90</v>
      </c>
      <c r="D35" s="8"/>
      <c r="E35" s="8"/>
      <c r="F35" s="8" t="s">
        <v>25</v>
      </c>
      <c r="G35" s="24" t="s">
        <v>29</v>
      </c>
      <c r="H35" s="24" t="s">
        <v>22</v>
      </c>
      <c r="I35" s="8" t="s">
        <v>31</v>
      </c>
      <c r="J35" s="61"/>
      <c r="K35" s="146"/>
      <c r="L35" s="140"/>
      <c r="M35" s="17"/>
      <c r="N35" s="3"/>
      <c r="O35" s="3"/>
      <c r="P35" s="3" t="s">
        <v>91</v>
      </c>
      <c r="Q35" s="3">
        <v>70</v>
      </c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spans="1:29" ht="27.75" customHeight="1">
      <c r="A36" s="3"/>
      <c r="B36" s="7"/>
      <c r="C36" s="50" t="s">
        <v>92</v>
      </c>
      <c r="D36" s="8"/>
      <c r="E36" s="8"/>
      <c r="F36" s="8" t="s">
        <v>25</v>
      </c>
      <c r="G36" s="24" t="s">
        <v>29</v>
      </c>
      <c r="H36" s="24" t="s">
        <v>22</v>
      </c>
      <c r="I36" s="8" t="s">
        <v>31</v>
      </c>
      <c r="J36" s="61"/>
      <c r="K36" s="146"/>
      <c r="L36" s="140"/>
      <c r="M36" s="17"/>
      <c r="N36" s="3"/>
      <c r="O36" s="3"/>
      <c r="P36" s="3" t="s">
        <v>51</v>
      </c>
      <c r="Q36" s="3">
        <v>24</v>
      </c>
      <c r="R36" s="25">
        <f>Q36/68</f>
        <v>0.35294117647058826</v>
      </c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 spans="1:29" ht="27.75" customHeight="1">
      <c r="A37" s="3"/>
      <c r="B37" s="7"/>
      <c r="C37" s="50" t="s">
        <v>93</v>
      </c>
      <c r="D37" s="8"/>
      <c r="E37" s="8"/>
      <c r="F37" s="8" t="s">
        <v>25</v>
      </c>
      <c r="G37" s="24" t="s">
        <v>34</v>
      </c>
      <c r="H37" s="24" t="s">
        <v>22</v>
      </c>
      <c r="I37" s="8" t="s">
        <v>31</v>
      </c>
      <c r="J37" s="61"/>
      <c r="K37" s="146"/>
      <c r="L37" s="140"/>
      <c r="M37" s="17"/>
      <c r="N37" s="3"/>
      <c r="O37" s="3"/>
      <c r="P37" s="3" t="s">
        <v>54</v>
      </c>
      <c r="Q37" s="3">
        <v>44</v>
      </c>
      <c r="R37" s="25">
        <f>Q37/68</f>
        <v>0.6470588235294118</v>
      </c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 spans="1:29" ht="27.75" customHeight="1">
      <c r="A38" s="3"/>
      <c r="B38" s="7"/>
      <c r="C38" s="50" t="s">
        <v>94</v>
      </c>
      <c r="D38" s="8"/>
      <c r="E38" s="8"/>
      <c r="F38" s="8" t="s">
        <v>25</v>
      </c>
      <c r="G38" s="24" t="s">
        <v>34</v>
      </c>
      <c r="H38" s="24" t="s">
        <v>22</v>
      </c>
      <c r="I38" s="8" t="s">
        <v>31</v>
      </c>
      <c r="J38" s="61"/>
      <c r="K38" s="146"/>
      <c r="L38" s="140"/>
      <c r="M38" s="10"/>
      <c r="N38" s="3"/>
      <c r="O38" s="3"/>
      <c r="P38" s="3" t="s">
        <v>53</v>
      </c>
      <c r="Q38" s="3">
        <v>2</v>
      </c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spans="1:29" ht="27.75" customHeight="1">
      <c r="A39" s="3"/>
      <c r="B39" s="7"/>
      <c r="C39" s="50" t="s">
        <v>95</v>
      </c>
      <c r="D39" s="8"/>
      <c r="E39" s="8"/>
      <c r="F39" s="8" t="s">
        <v>25</v>
      </c>
      <c r="G39" s="24" t="s">
        <v>34</v>
      </c>
      <c r="H39" s="24" t="s">
        <v>22</v>
      </c>
      <c r="I39" s="8" t="s">
        <v>31</v>
      </c>
      <c r="J39" s="61"/>
      <c r="K39" s="146"/>
      <c r="L39" s="140"/>
      <c r="M39" s="17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spans="1:29" ht="27.75" customHeight="1">
      <c r="A40" s="3"/>
      <c r="B40" s="7"/>
      <c r="C40" s="50" t="s">
        <v>96</v>
      </c>
      <c r="D40" s="8"/>
      <c r="E40" s="8"/>
      <c r="F40" s="8" t="s">
        <v>25</v>
      </c>
      <c r="G40" s="24" t="s">
        <v>21</v>
      </c>
      <c r="H40" s="24" t="s">
        <v>22</v>
      </c>
      <c r="I40" s="8" t="s">
        <v>31</v>
      </c>
      <c r="J40" s="61"/>
      <c r="K40" s="146"/>
      <c r="L40" s="140"/>
      <c r="M40" s="10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 spans="1:29" ht="27.75" customHeight="1">
      <c r="A41" s="3"/>
      <c r="B41" s="7"/>
      <c r="C41" s="50" t="s">
        <v>97</v>
      </c>
      <c r="D41" s="8"/>
      <c r="E41" s="8"/>
      <c r="F41" s="8" t="s">
        <v>25</v>
      </c>
      <c r="G41" s="24" t="s">
        <v>21</v>
      </c>
      <c r="H41" s="24" t="s">
        <v>22</v>
      </c>
      <c r="I41" s="8" t="s">
        <v>31</v>
      </c>
      <c r="J41" s="61"/>
      <c r="K41" s="146"/>
      <c r="L41" s="140"/>
      <c r="M41" s="10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 spans="1:29" ht="27.75" customHeight="1">
      <c r="A42" s="3"/>
      <c r="B42" s="7"/>
      <c r="C42" s="50" t="s">
        <v>98</v>
      </c>
      <c r="D42" s="8"/>
      <c r="E42" s="8"/>
      <c r="F42" s="8" t="s">
        <v>25</v>
      </c>
      <c r="G42" s="24" t="s">
        <v>21</v>
      </c>
      <c r="H42" s="24" t="s">
        <v>22</v>
      </c>
      <c r="I42" s="8" t="s">
        <v>31</v>
      </c>
      <c r="J42" s="61"/>
      <c r="K42" s="146"/>
      <c r="L42" s="140"/>
      <c r="M42" s="17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spans="1:29" ht="27.75" customHeight="1">
      <c r="A43" s="3"/>
      <c r="B43" s="7"/>
      <c r="C43" s="50" t="s">
        <v>99</v>
      </c>
      <c r="D43" s="8"/>
      <c r="E43" s="8"/>
      <c r="F43" s="8" t="s">
        <v>25</v>
      </c>
      <c r="G43" s="24" t="s">
        <v>21</v>
      </c>
      <c r="H43" s="24" t="s">
        <v>22</v>
      </c>
      <c r="I43" s="8" t="s">
        <v>31</v>
      </c>
      <c r="J43" s="61"/>
      <c r="K43" s="146"/>
      <c r="L43" s="140"/>
      <c r="M43" s="10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 spans="1:29" ht="27.75" customHeight="1">
      <c r="A44" s="3"/>
      <c r="B44" s="7"/>
      <c r="C44" s="50" t="s">
        <v>100</v>
      </c>
      <c r="D44" s="8"/>
      <c r="E44" s="8"/>
      <c r="F44" s="8" t="s">
        <v>25</v>
      </c>
      <c r="G44" s="24" t="s">
        <v>21</v>
      </c>
      <c r="H44" s="24" t="s">
        <v>22</v>
      </c>
      <c r="I44" s="8" t="s">
        <v>31</v>
      </c>
      <c r="J44" s="61"/>
      <c r="K44" s="146"/>
      <c r="L44" s="140"/>
      <c r="M44" s="17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 spans="1:29" ht="27.75" customHeight="1">
      <c r="A45" s="3"/>
      <c r="B45" s="7"/>
      <c r="C45" s="8" t="s">
        <v>101</v>
      </c>
      <c r="D45" s="8" t="s">
        <v>77</v>
      </c>
      <c r="E45" s="8" t="s">
        <v>28</v>
      </c>
      <c r="F45" s="8" t="s">
        <v>25</v>
      </c>
      <c r="G45" s="24" t="s">
        <v>29</v>
      </c>
      <c r="H45" s="24" t="s">
        <v>22</v>
      </c>
      <c r="I45" s="8" t="s">
        <v>31</v>
      </c>
      <c r="J45" s="61"/>
      <c r="K45" s="146"/>
      <c r="L45" s="140"/>
      <c r="M45" s="10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 spans="1:29" ht="27.75" customHeight="1">
      <c r="A46" s="3"/>
      <c r="B46" s="7"/>
      <c r="C46" s="8" t="s">
        <v>102</v>
      </c>
      <c r="D46" s="8" t="s">
        <v>27</v>
      </c>
      <c r="E46" s="8" t="s">
        <v>28</v>
      </c>
      <c r="F46" s="8" t="s">
        <v>20</v>
      </c>
      <c r="G46" s="24" t="s">
        <v>48</v>
      </c>
      <c r="H46" s="24" t="s">
        <v>45</v>
      </c>
      <c r="I46" s="8" t="s">
        <v>31</v>
      </c>
      <c r="J46" s="61"/>
      <c r="K46" s="146"/>
      <c r="L46" s="140"/>
      <c r="M46" s="10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 spans="1:29" ht="27.75" customHeight="1">
      <c r="A47" s="3"/>
      <c r="B47" s="7"/>
      <c r="C47" s="8" t="s">
        <v>103</v>
      </c>
      <c r="D47" s="8" t="s">
        <v>27</v>
      </c>
      <c r="E47" s="8" t="s">
        <v>19</v>
      </c>
      <c r="F47" s="8" t="s">
        <v>20</v>
      </c>
      <c r="G47" s="24" t="s">
        <v>44</v>
      </c>
      <c r="H47" s="24" t="s">
        <v>45</v>
      </c>
      <c r="I47" s="8" t="s">
        <v>31</v>
      </c>
      <c r="J47" s="61"/>
      <c r="K47" s="146"/>
      <c r="L47" s="140"/>
      <c r="M47" s="17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 spans="1:29" ht="27.75" customHeight="1">
      <c r="A48" s="3"/>
      <c r="B48" s="7"/>
      <c r="C48" s="50" t="s">
        <v>104</v>
      </c>
      <c r="D48" s="8"/>
      <c r="E48" s="8" t="s">
        <v>19</v>
      </c>
      <c r="F48" s="8" t="s">
        <v>47</v>
      </c>
      <c r="G48" s="24" t="s">
        <v>48</v>
      </c>
      <c r="H48" s="24" t="s">
        <v>45</v>
      </c>
      <c r="I48" s="8" t="s">
        <v>31</v>
      </c>
      <c r="J48" s="61"/>
      <c r="K48" s="146"/>
      <c r="L48" s="140"/>
      <c r="M48" s="17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27.75" customHeight="1">
      <c r="A49" s="3"/>
      <c r="B49" s="7"/>
      <c r="C49" s="50" t="s">
        <v>105</v>
      </c>
      <c r="D49" s="8"/>
      <c r="E49" s="8"/>
      <c r="F49" s="8" t="s">
        <v>25</v>
      </c>
      <c r="G49" s="24" t="s">
        <v>48</v>
      </c>
      <c r="H49" s="24" t="s">
        <v>45</v>
      </c>
      <c r="I49" s="8" t="s">
        <v>31</v>
      </c>
      <c r="J49" s="61"/>
      <c r="K49" s="146"/>
      <c r="L49" s="140"/>
      <c r="M49" s="10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spans="1:29" ht="27.75" customHeight="1">
      <c r="A50" s="3"/>
      <c r="B50" s="7"/>
      <c r="C50" s="50" t="s">
        <v>106</v>
      </c>
      <c r="D50" s="8"/>
      <c r="E50" s="8"/>
      <c r="F50" s="8" t="s">
        <v>25</v>
      </c>
      <c r="G50" s="24" t="s">
        <v>48</v>
      </c>
      <c r="H50" s="24" t="s">
        <v>45</v>
      </c>
      <c r="I50" s="8" t="s">
        <v>31</v>
      </c>
      <c r="J50" s="61"/>
      <c r="K50" s="146"/>
      <c r="L50" s="140"/>
      <c r="M50" s="10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 spans="1:29" ht="27.75" customHeight="1">
      <c r="A51" s="3"/>
      <c r="B51" s="7"/>
      <c r="C51" s="8" t="s">
        <v>107</v>
      </c>
      <c r="D51" s="8" t="s">
        <v>77</v>
      </c>
      <c r="E51" s="8" t="s">
        <v>19</v>
      </c>
      <c r="F51" s="8" t="s">
        <v>25</v>
      </c>
      <c r="G51" s="24" t="s">
        <v>48</v>
      </c>
      <c r="H51" s="24" t="s">
        <v>45</v>
      </c>
      <c r="I51" s="8" t="s">
        <v>31</v>
      </c>
      <c r="J51" s="61"/>
      <c r="K51" s="146"/>
      <c r="L51" s="140"/>
      <c r="M51" s="17" t="s">
        <v>108</v>
      </c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spans="1:29" ht="27.75" customHeight="1">
      <c r="A52" s="3"/>
      <c r="B52" s="7"/>
      <c r="C52" s="50" t="s">
        <v>109</v>
      </c>
      <c r="D52" s="8"/>
      <c r="E52" s="8"/>
      <c r="F52" s="8" t="s">
        <v>25</v>
      </c>
      <c r="G52" s="24" t="s">
        <v>48</v>
      </c>
      <c r="H52" s="24" t="s">
        <v>45</v>
      </c>
      <c r="I52" s="8" t="s">
        <v>31</v>
      </c>
      <c r="J52" s="61"/>
      <c r="K52" s="146"/>
      <c r="L52" s="140"/>
      <c r="M52" s="17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:29" ht="27.75" customHeight="1">
      <c r="A53" s="3"/>
      <c r="B53" s="7"/>
      <c r="C53" s="50" t="s">
        <v>110</v>
      </c>
      <c r="D53" s="8"/>
      <c r="E53" s="8"/>
      <c r="F53" s="8" t="s">
        <v>25</v>
      </c>
      <c r="G53" s="24" t="s">
        <v>44</v>
      </c>
      <c r="H53" s="24" t="s">
        <v>45</v>
      </c>
      <c r="I53" s="8" t="s">
        <v>31</v>
      </c>
      <c r="J53" s="61"/>
      <c r="K53" s="146"/>
      <c r="L53" s="140"/>
      <c r="M53" s="17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 spans="1:29" ht="27.75" customHeight="1">
      <c r="A54" s="3"/>
      <c r="B54" s="7"/>
      <c r="C54" s="8" t="s">
        <v>111</v>
      </c>
      <c r="D54" s="8" t="s">
        <v>87</v>
      </c>
      <c r="E54" s="8" t="s">
        <v>28</v>
      </c>
      <c r="F54" s="8" t="s">
        <v>25</v>
      </c>
      <c r="G54" s="24" t="s">
        <v>44</v>
      </c>
      <c r="H54" s="24" t="s">
        <v>45</v>
      </c>
      <c r="I54" s="8" t="s">
        <v>31</v>
      </c>
      <c r="J54" s="61"/>
      <c r="K54" s="146"/>
      <c r="L54" s="140"/>
      <c r="M54" s="17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 spans="1:29" ht="27.75" customHeight="1">
      <c r="A55" s="3"/>
      <c r="B55" s="7"/>
      <c r="C55" s="50" t="s">
        <v>112</v>
      </c>
      <c r="D55" s="8"/>
      <c r="E55" s="8"/>
      <c r="F55" s="8" t="s">
        <v>25</v>
      </c>
      <c r="G55" s="24" t="s">
        <v>44</v>
      </c>
      <c r="H55" s="24" t="s">
        <v>45</v>
      </c>
      <c r="I55" s="8" t="s">
        <v>31</v>
      </c>
      <c r="J55" s="61"/>
      <c r="K55" s="146"/>
      <c r="L55" s="140"/>
      <c r="M55" s="17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pans="1:29" ht="27.75" customHeight="1">
      <c r="A56" s="3"/>
      <c r="B56" s="7"/>
      <c r="C56" s="50" t="s">
        <v>113</v>
      </c>
      <c r="D56" s="8"/>
      <c r="E56" s="8"/>
      <c r="F56" s="8" t="s">
        <v>25</v>
      </c>
      <c r="G56" s="24" t="s">
        <v>59</v>
      </c>
      <c r="H56" s="24" t="s">
        <v>45</v>
      </c>
      <c r="I56" s="8" t="s">
        <v>31</v>
      </c>
      <c r="J56" s="61"/>
      <c r="K56" s="146"/>
      <c r="L56" s="140"/>
      <c r="M56" s="17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 spans="1:29" ht="27.75" customHeight="1">
      <c r="A57" s="3"/>
      <c r="B57" s="7"/>
      <c r="C57" s="50" t="s">
        <v>114</v>
      </c>
      <c r="D57" s="8"/>
      <c r="E57" s="8"/>
      <c r="F57" s="8" t="s">
        <v>25</v>
      </c>
      <c r="G57" s="24" t="s">
        <v>59</v>
      </c>
      <c r="H57" s="24" t="s">
        <v>45</v>
      </c>
      <c r="I57" s="8" t="s">
        <v>31</v>
      </c>
      <c r="J57" s="61"/>
      <c r="K57" s="146"/>
      <c r="L57" s="140"/>
      <c r="M57" s="17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 spans="1:29" ht="27.75" customHeight="1">
      <c r="A58" s="3"/>
      <c r="B58" s="7"/>
      <c r="C58" s="50" t="s">
        <v>115</v>
      </c>
      <c r="D58" s="8"/>
      <c r="E58" s="8"/>
      <c r="F58" s="8" t="s">
        <v>25</v>
      </c>
      <c r="G58" s="24" t="s">
        <v>48</v>
      </c>
      <c r="H58" s="24" t="s">
        <v>45</v>
      </c>
      <c r="I58" s="8" t="s">
        <v>31</v>
      </c>
      <c r="J58" s="61"/>
      <c r="K58" s="146"/>
      <c r="L58" s="140"/>
      <c r="M58" s="10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 spans="1:29" ht="27.75" customHeight="1">
      <c r="A59" s="3"/>
      <c r="B59" s="7"/>
      <c r="C59" s="50" t="s">
        <v>116</v>
      </c>
      <c r="D59" s="8"/>
      <c r="E59" s="8"/>
      <c r="F59" s="8" t="s">
        <v>25</v>
      </c>
      <c r="G59" s="24" t="s">
        <v>44</v>
      </c>
      <c r="H59" s="24" t="s">
        <v>45</v>
      </c>
      <c r="I59" s="8" t="s">
        <v>31</v>
      </c>
      <c r="J59" s="61"/>
      <c r="K59" s="146"/>
      <c r="L59" s="140"/>
      <c r="M59" s="17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 spans="1:29" ht="27.75" customHeight="1">
      <c r="A60" s="3"/>
      <c r="B60" s="7"/>
      <c r="C60" s="8" t="s">
        <v>117</v>
      </c>
      <c r="D60" s="8" t="s">
        <v>27</v>
      </c>
      <c r="E60" s="8" t="s">
        <v>19</v>
      </c>
      <c r="F60" s="8" t="s">
        <v>20</v>
      </c>
      <c r="G60" s="24" t="s">
        <v>68</v>
      </c>
      <c r="H60" s="24" t="s">
        <v>69</v>
      </c>
      <c r="I60" s="8" t="s">
        <v>31</v>
      </c>
      <c r="J60" s="61"/>
      <c r="K60" s="146"/>
      <c r="L60" s="140"/>
      <c r="M60" s="17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 spans="1:29" ht="27.75" customHeight="1">
      <c r="A61" s="3"/>
      <c r="B61" s="7"/>
      <c r="C61" s="8" t="s">
        <v>118</v>
      </c>
      <c r="D61" s="8" t="s">
        <v>27</v>
      </c>
      <c r="E61" s="8" t="s">
        <v>28</v>
      </c>
      <c r="F61" s="8" t="s">
        <v>20</v>
      </c>
      <c r="G61" s="24" t="s">
        <v>75</v>
      </c>
      <c r="H61" s="24" t="s">
        <v>69</v>
      </c>
      <c r="I61" s="8" t="s">
        <v>31</v>
      </c>
      <c r="J61" s="61"/>
      <c r="K61" s="146"/>
      <c r="L61" s="140"/>
      <c r="M61" s="17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 spans="1:29" ht="27.75" customHeight="1">
      <c r="A62" s="3"/>
      <c r="B62" s="7"/>
      <c r="C62" s="8" t="s">
        <v>119</v>
      </c>
      <c r="D62" s="8"/>
      <c r="E62" s="8"/>
      <c r="F62" s="8" t="s">
        <v>25</v>
      </c>
      <c r="G62" s="24" t="s">
        <v>68</v>
      </c>
      <c r="H62" s="24" t="s">
        <v>69</v>
      </c>
      <c r="I62" s="8" t="s">
        <v>31</v>
      </c>
      <c r="J62" s="61"/>
      <c r="K62" s="146"/>
      <c r="L62" s="140"/>
      <c r="M62" s="17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 spans="1:29" ht="27.75" customHeight="1">
      <c r="A63" s="3"/>
      <c r="B63" s="7"/>
      <c r="C63" s="8" t="s">
        <v>120</v>
      </c>
      <c r="D63" s="8"/>
      <c r="E63" s="8"/>
      <c r="F63" s="8" t="s">
        <v>25</v>
      </c>
      <c r="G63" s="24" t="s">
        <v>68</v>
      </c>
      <c r="H63" s="24" t="s">
        <v>69</v>
      </c>
      <c r="I63" s="8" t="s">
        <v>31</v>
      </c>
      <c r="J63" s="61"/>
      <c r="K63" s="146"/>
      <c r="L63" s="140"/>
      <c r="M63" s="17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 spans="1:29" ht="27.75" customHeight="1">
      <c r="A64" s="3"/>
      <c r="B64" s="7"/>
      <c r="C64" s="8" t="s">
        <v>121</v>
      </c>
      <c r="D64" s="8" t="s">
        <v>18</v>
      </c>
      <c r="E64" s="8" t="s">
        <v>19</v>
      </c>
      <c r="F64" s="8" t="s">
        <v>25</v>
      </c>
      <c r="G64" s="24" t="s">
        <v>75</v>
      </c>
      <c r="H64" s="24" t="s">
        <v>69</v>
      </c>
      <c r="I64" s="8" t="s">
        <v>31</v>
      </c>
      <c r="J64" s="61"/>
      <c r="K64" s="146"/>
      <c r="L64" s="140"/>
      <c r="M64" s="10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 spans="1:29" ht="27.75" customHeight="1">
      <c r="A65" s="3"/>
      <c r="B65" s="7"/>
      <c r="C65" s="8" t="s">
        <v>122</v>
      </c>
      <c r="D65" s="8"/>
      <c r="E65" s="8"/>
      <c r="F65" s="8" t="s">
        <v>25</v>
      </c>
      <c r="G65" s="24" t="s">
        <v>73</v>
      </c>
      <c r="H65" s="24" t="s">
        <v>69</v>
      </c>
      <c r="I65" s="8" t="s">
        <v>31</v>
      </c>
      <c r="J65" s="61"/>
      <c r="K65" s="146"/>
      <c r="L65" s="140"/>
      <c r="M65" s="17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 spans="1:29" ht="27.75" customHeight="1">
      <c r="A66" s="3"/>
      <c r="B66" s="7"/>
      <c r="C66" s="8" t="s">
        <v>123</v>
      </c>
      <c r="D66" s="8" t="s">
        <v>124</v>
      </c>
      <c r="E66" s="8" t="s">
        <v>28</v>
      </c>
      <c r="F66" s="8" t="s">
        <v>20</v>
      </c>
      <c r="G66" s="24" t="s">
        <v>73</v>
      </c>
      <c r="H66" s="24" t="s">
        <v>69</v>
      </c>
      <c r="I66" s="8" t="s">
        <v>125</v>
      </c>
      <c r="J66" s="61"/>
      <c r="K66" s="146"/>
      <c r="L66" s="140"/>
      <c r="M66" s="17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 spans="1:29" ht="27.75" customHeight="1">
      <c r="A67" s="3"/>
      <c r="B67" s="7"/>
      <c r="C67" s="8" t="s">
        <v>126</v>
      </c>
      <c r="D67" s="8" t="s">
        <v>77</v>
      </c>
      <c r="E67" s="8" t="s">
        <v>19</v>
      </c>
      <c r="F67" s="8" t="s">
        <v>25</v>
      </c>
      <c r="G67" s="24" t="s">
        <v>73</v>
      </c>
      <c r="H67" s="24" t="s">
        <v>69</v>
      </c>
      <c r="I67" s="8" t="s">
        <v>125</v>
      </c>
      <c r="J67" s="61"/>
      <c r="K67" s="146"/>
      <c r="L67" s="140"/>
      <c r="M67" s="17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 spans="1:29" ht="27.75" customHeight="1">
      <c r="A68" s="3"/>
      <c r="B68" s="7"/>
      <c r="C68" s="8" t="s">
        <v>127</v>
      </c>
      <c r="D68" s="8"/>
      <c r="E68" s="8"/>
      <c r="F68" s="8" t="s">
        <v>25</v>
      </c>
      <c r="G68" s="24" t="s">
        <v>73</v>
      </c>
      <c r="H68" s="24" t="s">
        <v>69</v>
      </c>
      <c r="I68" s="8" t="s">
        <v>125</v>
      </c>
      <c r="J68" s="61"/>
      <c r="K68" s="146"/>
      <c r="L68" s="140"/>
      <c r="M68" s="17" t="s">
        <v>108</v>
      </c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 spans="1:29" ht="27.75" customHeight="1">
      <c r="A69" s="3"/>
      <c r="B69" s="7"/>
      <c r="C69" s="51" t="s">
        <v>128</v>
      </c>
      <c r="D69" s="8"/>
      <c r="E69" s="8"/>
      <c r="F69" s="8" t="s">
        <v>25</v>
      </c>
      <c r="G69" s="24" t="s">
        <v>21</v>
      </c>
      <c r="H69" s="24" t="s">
        <v>22</v>
      </c>
      <c r="I69" s="8" t="s">
        <v>39</v>
      </c>
      <c r="J69" s="61"/>
      <c r="K69" s="146"/>
      <c r="L69" s="140"/>
      <c r="M69" s="17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 spans="1:29" ht="27.75" customHeight="1">
      <c r="A70" s="3"/>
      <c r="B70" s="7"/>
      <c r="C70" s="50" t="s">
        <v>129</v>
      </c>
      <c r="D70" s="8"/>
      <c r="E70" s="8"/>
      <c r="F70" s="8" t="s">
        <v>25</v>
      </c>
      <c r="G70" s="24" t="s">
        <v>44</v>
      </c>
      <c r="H70" s="24" t="s">
        <v>45</v>
      </c>
      <c r="I70" s="8" t="s">
        <v>39</v>
      </c>
      <c r="J70" s="61"/>
      <c r="K70" s="146"/>
      <c r="L70" s="140"/>
      <c r="M70" s="17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 spans="1:29" ht="27.75" customHeight="1">
      <c r="A71" s="3"/>
      <c r="B71" s="7"/>
      <c r="C71" s="8" t="s">
        <v>130</v>
      </c>
      <c r="D71" s="8" t="s">
        <v>27</v>
      </c>
      <c r="E71" s="8" t="s">
        <v>28</v>
      </c>
      <c r="F71" s="8" t="s">
        <v>20</v>
      </c>
      <c r="G71" s="24" t="s">
        <v>68</v>
      </c>
      <c r="H71" s="24" t="s">
        <v>69</v>
      </c>
      <c r="I71" s="8" t="s">
        <v>39</v>
      </c>
      <c r="J71" s="61"/>
      <c r="K71" s="146"/>
      <c r="L71" s="140"/>
      <c r="M71" s="10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 spans="1:29" ht="27.75" customHeight="1">
      <c r="A72" s="3"/>
      <c r="B72" s="20"/>
      <c r="C72" s="8" t="s">
        <v>131</v>
      </c>
      <c r="D72" s="8"/>
      <c r="E72" s="8"/>
      <c r="F72" s="8" t="s">
        <v>20</v>
      </c>
      <c r="G72" s="24" t="s">
        <v>73</v>
      </c>
      <c r="H72" s="24" t="s">
        <v>69</v>
      </c>
      <c r="I72" s="8" t="s">
        <v>39</v>
      </c>
      <c r="J72" s="61"/>
      <c r="K72" s="61"/>
      <c r="L72" s="140"/>
      <c r="M72" s="17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 spans="1:29" ht="27.75" customHeight="1">
      <c r="A73" s="3"/>
      <c r="B73" s="7"/>
      <c r="C73" s="8" t="s">
        <v>132</v>
      </c>
      <c r="D73" s="8" t="s">
        <v>87</v>
      </c>
      <c r="E73" s="8" t="s">
        <v>28</v>
      </c>
      <c r="F73" s="8" t="s">
        <v>20</v>
      </c>
      <c r="G73" s="9" t="s">
        <v>73</v>
      </c>
      <c r="H73" s="24" t="s">
        <v>69</v>
      </c>
      <c r="I73" s="8" t="s">
        <v>39</v>
      </c>
      <c r="J73" s="61"/>
      <c r="K73" s="61"/>
      <c r="L73" s="140"/>
      <c r="M73" s="17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 spans="1:29" ht="27.75" customHeight="1">
      <c r="A74" s="3"/>
      <c r="B74" s="20"/>
      <c r="C74" s="18"/>
      <c r="D74" s="18"/>
      <c r="E74" s="18"/>
      <c r="F74" s="18"/>
      <c r="G74" s="19"/>
      <c r="H74" s="19"/>
      <c r="I74" s="18"/>
      <c r="J74" s="60"/>
      <c r="K74" s="60"/>
      <c r="L74" s="141"/>
      <c r="M74" s="17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 spans="1:29" ht="27.75" customHeight="1">
      <c r="A75" s="3"/>
      <c r="B75" s="7"/>
      <c r="C75" s="18"/>
      <c r="D75" s="18"/>
      <c r="E75" s="18"/>
      <c r="F75" s="18"/>
      <c r="G75" s="19"/>
      <c r="H75" s="19"/>
      <c r="I75" s="18"/>
      <c r="J75" s="60"/>
      <c r="K75" s="60"/>
      <c r="L75" s="141"/>
      <c r="M75" s="10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 spans="1:29" ht="27.75" customHeight="1">
      <c r="A76" s="3"/>
      <c r="B76" s="7"/>
      <c r="C76" s="18"/>
      <c r="D76" s="18"/>
      <c r="E76" s="18"/>
      <c r="F76" s="18"/>
      <c r="G76" s="19"/>
      <c r="H76" s="19"/>
      <c r="I76" s="18"/>
      <c r="J76" s="60"/>
      <c r="K76" s="60"/>
      <c r="L76" s="141"/>
      <c r="M76" s="10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 spans="1:29" ht="27.75" customHeight="1">
      <c r="A77" s="3"/>
      <c r="B77" s="7"/>
      <c r="C77" s="18"/>
      <c r="D77" s="18"/>
      <c r="E77" s="18"/>
      <c r="F77" s="18"/>
      <c r="G77" s="19"/>
      <c r="H77" s="19"/>
      <c r="I77" s="18"/>
      <c r="J77" s="60"/>
      <c r="K77" s="60"/>
      <c r="L77" s="141"/>
      <c r="M77" s="10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 spans="1:29" ht="27.75" customHeight="1">
      <c r="A78" s="3"/>
      <c r="B78" s="7"/>
      <c r="C78" s="18"/>
      <c r="D78" s="18"/>
      <c r="E78" s="18"/>
      <c r="F78" s="18"/>
      <c r="G78" s="19"/>
      <c r="H78" s="19"/>
      <c r="I78" s="18"/>
      <c r="J78" s="60"/>
      <c r="K78" s="60"/>
      <c r="L78" s="141"/>
      <c r="M78" s="10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 spans="1:29" ht="27.75" customHeight="1">
      <c r="A79" s="3"/>
      <c r="B79" s="7"/>
      <c r="C79" s="18"/>
      <c r="D79" s="18"/>
      <c r="E79" s="18"/>
      <c r="F79" s="18"/>
      <c r="G79" s="19"/>
      <c r="H79" s="19"/>
      <c r="I79" s="18"/>
      <c r="J79" s="60"/>
      <c r="K79" s="60"/>
      <c r="L79" s="141"/>
      <c r="M79" s="10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spans="1:29" ht="27.75" customHeight="1">
      <c r="A80" s="3"/>
      <c r="B80" s="7"/>
      <c r="M80" s="10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 spans="1:29" ht="27.75" customHeight="1">
      <c r="A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 spans="1:29" ht="27.75" customHeight="1">
      <c r="A82" s="3"/>
      <c r="B82" s="3"/>
      <c r="C82" s="13"/>
      <c r="D82" s="13"/>
      <c r="E82" s="13"/>
      <c r="F82" s="13"/>
      <c r="G82" s="13"/>
      <c r="H82" s="13"/>
      <c r="I82" s="13"/>
      <c r="J82" s="63"/>
      <c r="K82" s="63"/>
      <c r="L82" s="143"/>
      <c r="M82" s="21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spans="1:29" ht="27.75" customHeight="1">
      <c r="A83" s="3"/>
      <c r="B83" s="3"/>
      <c r="C83" s="13"/>
      <c r="D83" s="13"/>
      <c r="E83" s="13"/>
      <c r="F83" s="13"/>
      <c r="G83" s="13"/>
      <c r="H83" s="13"/>
      <c r="I83" s="13"/>
      <c r="J83" s="63"/>
      <c r="K83" s="63"/>
      <c r="L83" s="143"/>
      <c r="M83" s="21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 spans="1:29" ht="27.75" customHeight="1">
      <c r="A84" s="3"/>
      <c r="B84" s="3"/>
      <c r="C84" s="13"/>
      <c r="D84" s="13"/>
      <c r="E84" s="13"/>
      <c r="F84" s="13"/>
      <c r="G84" s="13"/>
      <c r="H84" s="13"/>
      <c r="I84" s="13"/>
      <c r="J84" s="63"/>
      <c r="K84" s="63"/>
      <c r="L84" s="143"/>
      <c r="M84" s="21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 spans="1:29" ht="27.75" customHeight="1">
      <c r="A85" s="3"/>
      <c r="B85" s="3"/>
      <c r="C85" s="13"/>
      <c r="D85" s="13"/>
      <c r="E85" s="13"/>
      <c r="F85" s="13"/>
      <c r="G85" s="13"/>
      <c r="H85" s="13"/>
      <c r="I85" s="13"/>
      <c r="J85" s="63"/>
      <c r="K85" s="63"/>
      <c r="L85" s="143"/>
      <c r="M85" s="1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 spans="1:29" ht="27.75" customHeight="1">
      <c r="A86" s="3"/>
      <c r="B86" s="3"/>
      <c r="C86" s="13"/>
      <c r="D86" s="13"/>
      <c r="E86" s="13"/>
      <c r="F86" s="13"/>
      <c r="G86" s="13"/>
      <c r="H86" s="13"/>
      <c r="I86" s="13"/>
      <c r="J86" s="63"/>
      <c r="K86" s="63"/>
      <c r="L86" s="143"/>
      <c r="M86" s="1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 spans="1:29" ht="27.75" customHeight="1">
      <c r="A87" s="3"/>
      <c r="B87" s="3"/>
      <c r="C87" s="13"/>
      <c r="D87" s="13"/>
      <c r="E87" s="13"/>
      <c r="F87" s="13"/>
      <c r="G87" s="13"/>
      <c r="H87" s="13"/>
      <c r="I87" s="13"/>
      <c r="J87" s="63"/>
      <c r="K87" s="63"/>
      <c r="L87" s="143"/>
      <c r="M87" s="1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 spans="1:29" ht="27.75" customHeight="1">
      <c r="A88" s="3"/>
      <c r="B88" s="3"/>
      <c r="C88" s="13"/>
      <c r="D88" s="13"/>
      <c r="E88" s="13"/>
      <c r="F88" s="13"/>
      <c r="G88" s="13"/>
      <c r="H88" s="13"/>
      <c r="I88" s="13"/>
      <c r="J88" s="63"/>
      <c r="K88" s="63"/>
      <c r="L88" s="143"/>
      <c r="M88" s="1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 spans="1:29" ht="27.75" customHeight="1">
      <c r="A89" s="3"/>
      <c r="B89" s="3"/>
      <c r="C89" s="13"/>
      <c r="D89" s="13"/>
      <c r="E89" s="13"/>
      <c r="F89" s="13"/>
      <c r="G89" s="13"/>
      <c r="H89" s="13"/>
      <c r="I89" s="13"/>
      <c r="J89" s="63"/>
      <c r="K89" s="63"/>
      <c r="L89" s="143"/>
      <c r="M89" s="1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 spans="1:29" ht="27.75" customHeight="1">
      <c r="A90" s="3"/>
      <c r="B90" s="3"/>
      <c r="C90" s="13"/>
      <c r="D90" s="13"/>
      <c r="E90" s="13"/>
      <c r="F90" s="13"/>
      <c r="G90" s="13"/>
      <c r="H90" s="13"/>
      <c r="I90" s="13"/>
      <c r="J90" s="63"/>
      <c r="K90" s="63"/>
      <c r="L90" s="143"/>
      <c r="M90" s="1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 spans="1:29" ht="27.75" customHeight="1">
      <c r="A91" s="3"/>
      <c r="B91" s="3"/>
      <c r="C91" s="13"/>
      <c r="D91" s="13"/>
      <c r="E91" s="13"/>
      <c r="F91" s="13"/>
      <c r="G91" s="13"/>
      <c r="H91" s="13"/>
      <c r="I91" s="13"/>
      <c r="J91" s="63"/>
      <c r="K91" s="63"/>
      <c r="L91" s="143"/>
      <c r="M91" s="1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 spans="1:29" ht="27.75" customHeight="1">
      <c r="A92" s="3"/>
      <c r="B92" s="3"/>
      <c r="C92" s="13"/>
      <c r="D92" s="13"/>
      <c r="E92" s="13"/>
      <c r="F92" s="13"/>
      <c r="G92" s="13"/>
      <c r="H92" s="13"/>
      <c r="I92" s="13"/>
      <c r="J92" s="63"/>
      <c r="K92" s="63"/>
      <c r="L92" s="143"/>
      <c r="M92" s="1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 spans="1:29" ht="27.75" customHeight="1">
      <c r="A93" s="3"/>
      <c r="B93" s="3"/>
      <c r="C93" s="13"/>
      <c r="D93" s="13"/>
      <c r="E93" s="13"/>
      <c r="F93" s="13"/>
      <c r="G93" s="13"/>
      <c r="H93" s="13"/>
      <c r="I93" s="13"/>
      <c r="J93" s="63"/>
      <c r="K93" s="63"/>
      <c r="L93" s="143"/>
      <c r="M93" s="1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 spans="1:29" ht="27.75" customHeight="1">
      <c r="A94" s="3"/>
      <c r="B94" s="3"/>
      <c r="C94" s="13"/>
      <c r="D94" s="13"/>
      <c r="E94" s="13"/>
      <c r="F94" s="13"/>
      <c r="G94" s="13"/>
      <c r="H94" s="13"/>
      <c r="I94" s="13"/>
      <c r="J94" s="63"/>
      <c r="K94" s="63"/>
      <c r="L94" s="143"/>
      <c r="M94" s="1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 spans="1:29" ht="27.75" customHeight="1">
      <c r="A95" s="3"/>
      <c r="B95" s="3"/>
      <c r="C95" s="13"/>
      <c r="D95" s="13"/>
      <c r="E95" s="13"/>
      <c r="F95" s="13"/>
      <c r="G95" s="13"/>
      <c r="H95" s="13"/>
      <c r="I95" s="13"/>
      <c r="J95" s="63"/>
      <c r="K95" s="63"/>
      <c r="L95" s="143"/>
      <c r="M95" s="1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 spans="1:29" ht="27.75" customHeight="1">
      <c r="A96" s="3"/>
      <c r="B96" s="3"/>
      <c r="C96" s="13"/>
      <c r="D96" s="13"/>
      <c r="E96" s="13"/>
      <c r="F96" s="13"/>
      <c r="G96" s="13"/>
      <c r="H96" s="13"/>
      <c r="I96" s="13"/>
      <c r="J96" s="63"/>
      <c r="K96" s="63"/>
      <c r="L96" s="143"/>
      <c r="M96" s="1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 spans="1:29" ht="27.75" customHeight="1">
      <c r="A97" s="3"/>
      <c r="B97" s="3"/>
      <c r="C97" s="13"/>
      <c r="D97" s="13"/>
      <c r="E97" s="13"/>
      <c r="F97" s="13"/>
      <c r="G97" s="13"/>
      <c r="H97" s="13"/>
      <c r="I97" s="13"/>
      <c r="J97" s="63"/>
      <c r="K97" s="63"/>
      <c r="L97" s="143"/>
      <c r="M97" s="1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 spans="1:29" ht="27.75" customHeight="1">
      <c r="A98" s="3"/>
      <c r="B98" s="3"/>
      <c r="C98" s="13"/>
      <c r="D98" s="13"/>
      <c r="E98" s="13"/>
      <c r="F98" s="13"/>
      <c r="G98" s="13"/>
      <c r="H98" s="13"/>
      <c r="I98" s="13"/>
      <c r="J98" s="63"/>
      <c r="K98" s="63"/>
      <c r="L98" s="143"/>
      <c r="M98" s="1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 spans="1:29" ht="27.75" customHeight="1">
      <c r="A99" s="3"/>
      <c r="B99" s="3"/>
      <c r="C99" s="13"/>
      <c r="D99" s="13"/>
      <c r="E99" s="13"/>
      <c r="F99" s="13"/>
      <c r="G99" s="13"/>
      <c r="H99" s="13"/>
      <c r="I99" s="13"/>
      <c r="J99" s="63"/>
      <c r="K99" s="63"/>
      <c r="L99" s="143"/>
      <c r="M99" s="1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 spans="1:29" ht="27.75" customHeight="1">
      <c r="A100" s="3"/>
      <c r="B100" s="3"/>
      <c r="C100" s="13"/>
      <c r="D100" s="13"/>
      <c r="E100" s="13"/>
      <c r="F100" s="13"/>
      <c r="G100" s="13"/>
      <c r="H100" s="13"/>
      <c r="I100" s="13"/>
      <c r="J100" s="63"/>
      <c r="K100" s="63"/>
      <c r="L100" s="143"/>
      <c r="M100" s="1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 spans="1:29" ht="27.75" customHeight="1">
      <c r="A101" s="3"/>
      <c r="B101" s="3"/>
      <c r="C101" s="13"/>
      <c r="D101" s="13"/>
      <c r="E101" s="13"/>
      <c r="F101" s="13"/>
      <c r="G101" s="13"/>
      <c r="H101" s="13"/>
      <c r="I101" s="13"/>
      <c r="J101" s="63"/>
      <c r="K101" s="63"/>
      <c r="L101" s="143"/>
      <c r="M101" s="1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spans="1:29" ht="27.75" customHeight="1">
      <c r="A102" s="3"/>
      <c r="B102" s="3"/>
      <c r="C102" s="13"/>
      <c r="D102" s="13"/>
      <c r="E102" s="13"/>
      <c r="F102" s="13"/>
      <c r="G102" s="13"/>
      <c r="H102" s="13"/>
      <c r="I102" s="13"/>
      <c r="J102" s="63"/>
      <c r="K102" s="63"/>
      <c r="L102" s="143"/>
      <c r="M102" s="1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spans="1:29" ht="27.75" customHeight="1">
      <c r="A103" s="3"/>
      <c r="B103" s="3"/>
      <c r="C103" s="13"/>
      <c r="D103" s="13"/>
      <c r="E103" s="13"/>
      <c r="F103" s="13"/>
      <c r="G103" s="13"/>
      <c r="H103" s="13"/>
      <c r="I103" s="13"/>
      <c r="J103" s="63"/>
      <c r="K103" s="63"/>
      <c r="L103" s="143"/>
      <c r="M103" s="1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spans="1:29" ht="27.75" customHeight="1">
      <c r="A104" s="3"/>
      <c r="B104" s="3"/>
      <c r="C104" s="13"/>
      <c r="D104" s="13"/>
      <c r="E104" s="13"/>
      <c r="F104" s="13"/>
      <c r="G104" s="13"/>
      <c r="H104" s="13"/>
      <c r="I104" s="13"/>
      <c r="J104" s="63"/>
      <c r="K104" s="63"/>
      <c r="L104" s="143"/>
      <c r="M104" s="1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spans="1:29" ht="27.75" customHeight="1">
      <c r="A105" s="3"/>
      <c r="B105" s="3"/>
      <c r="C105" s="13"/>
      <c r="D105" s="13"/>
      <c r="E105" s="13"/>
      <c r="F105" s="13"/>
      <c r="G105" s="13"/>
      <c r="H105" s="13"/>
      <c r="I105" s="13"/>
      <c r="J105" s="63"/>
      <c r="K105" s="63"/>
      <c r="L105" s="143"/>
      <c r="M105" s="1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 spans="1:29" ht="27.75" customHeight="1">
      <c r="A106" s="3"/>
      <c r="B106" s="3"/>
      <c r="C106" s="13"/>
      <c r="D106" s="13"/>
      <c r="E106" s="13"/>
      <c r="F106" s="13"/>
      <c r="G106" s="13"/>
      <c r="H106" s="13"/>
      <c r="I106" s="13"/>
      <c r="J106" s="63"/>
      <c r="K106" s="63"/>
      <c r="L106" s="143"/>
      <c r="M106" s="1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 spans="1:29" ht="27.75" customHeight="1">
      <c r="A107" s="3"/>
      <c r="B107" s="3"/>
      <c r="C107" s="13"/>
      <c r="D107" s="13"/>
      <c r="E107" s="13"/>
      <c r="F107" s="13"/>
      <c r="G107" s="13"/>
      <c r="H107" s="13"/>
      <c r="I107" s="13"/>
      <c r="J107" s="63"/>
      <c r="K107" s="63"/>
      <c r="L107" s="143"/>
      <c r="M107" s="1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 spans="1:29" ht="27.75" customHeight="1">
      <c r="A108" s="3"/>
      <c r="B108" s="3"/>
      <c r="C108" s="13"/>
      <c r="D108" s="13"/>
      <c r="E108" s="13"/>
      <c r="F108" s="13"/>
      <c r="G108" s="13"/>
      <c r="H108" s="13"/>
      <c r="I108" s="13"/>
      <c r="J108" s="63"/>
      <c r="K108" s="63"/>
      <c r="L108" s="143"/>
      <c r="M108" s="1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 spans="1:29" ht="27.75" customHeight="1">
      <c r="A109" s="3"/>
      <c r="B109" s="3"/>
      <c r="C109" s="13"/>
      <c r="D109" s="13"/>
      <c r="E109" s="13"/>
      <c r="F109" s="13"/>
      <c r="G109" s="13"/>
      <c r="H109" s="13"/>
      <c r="I109" s="13"/>
      <c r="J109" s="63"/>
      <c r="K109" s="63"/>
      <c r="L109" s="143"/>
      <c r="M109" s="1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pans="1:29" ht="27.75" customHeight="1">
      <c r="A110" s="3"/>
      <c r="B110" s="3"/>
      <c r="C110" s="13"/>
      <c r="D110" s="13"/>
      <c r="E110" s="13"/>
      <c r="F110" s="13"/>
      <c r="G110" s="13"/>
      <c r="H110" s="13"/>
      <c r="I110" s="13"/>
      <c r="J110" s="63"/>
      <c r="K110" s="63"/>
      <c r="L110" s="143"/>
      <c r="M110" s="1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spans="1:29" ht="27.75" customHeight="1">
      <c r="A111" s="3"/>
      <c r="B111" s="3"/>
      <c r="C111" s="13"/>
      <c r="D111" s="13"/>
      <c r="E111" s="13"/>
      <c r="F111" s="13"/>
      <c r="G111" s="13"/>
      <c r="H111" s="13"/>
      <c r="I111" s="13"/>
      <c r="J111" s="63"/>
      <c r="K111" s="63"/>
      <c r="L111" s="143"/>
      <c r="M111" s="1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spans="1:29" ht="27.75" customHeight="1">
      <c r="A112" s="3"/>
      <c r="B112" s="3"/>
      <c r="C112" s="13"/>
      <c r="D112" s="13"/>
      <c r="E112" s="13"/>
      <c r="F112" s="13"/>
      <c r="G112" s="13"/>
      <c r="H112" s="13"/>
      <c r="I112" s="13"/>
      <c r="J112" s="63"/>
      <c r="K112" s="63"/>
      <c r="L112" s="143"/>
      <c r="M112" s="1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 spans="1:29" ht="27.75" customHeight="1">
      <c r="A113" s="3"/>
      <c r="B113" s="3"/>
      <c r="C113" s="13"/>
      <c r="D113" s="13"/>
      <c r="E113" s="13"/>
      <c r="F113" s="13"/>
      <c r="G113" s="13"/>
      <c r="H113" s="13"/>
      <c r="I113" s="13"/>
      <c r="J113" s="63"/>
      <c r="K113" s="63"/>
      <c r="L113" s="143"/>
      <c r="M113" s="1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 spans="1:29" ht="27.75" customHeight="1">
      <c r="A114" s="3"/>
      <c r="B114" s="3"/>
      <c r="C114" s="13"/>
      <c r="D114" s="13"/>
      <c r="E114" s="13"/>
      <c r="F114" s="13"/>
      <c r="G114" s="13"/>
      <c r="H114" s="13"/>
      <c r="I114" s="13"/>
      <c r="J114" s="63"/>
      <c r="K114" s="63"/>
      <c r="L114" s="143"/>
      <c r="M114" s="1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 spans="1:29" ht="27.75" customHeight="1">
      <c r="A115" s="3"/>
      <c r="B115" s="3"/>
      <c r="C115" s="13"/>
      <c r="D115" s="13"/>
      <c r="E115" s="13"/>
      <c r="F115" s="13"/>
      <c r="G115" s="13"/>
      <c r="H115" s="13"/>
      <c r="I115" s="13"/>
      <c r="J115" s="63"/>
      <c r="K115" s="63"/>
      <c r="L115" s="143"/>
      <c r="M115" s="1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 spans="1:29" ht="27.75" customHeight="1">
      <c r="A116" s="3"/>
      <c r="B116" s="3"/>
      <c r="C116" s="13"/>
      <c r="D116" s="13"/>
      <c r="E116" s="13"/>
      <c r="F116" s="13"/>
      <c r="G116" s="13"/>
      <c r="H116" s="13"/>
      <c r="I116" s="13"/>
      <c r="J116" s="63"/>
      <c r="K116" s="63"/>
      <c r="L116" s="143"/>
      <c r="M116" s="1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 spans="1:29" ht="27.75" customHeight="1">
      <c r="A117" s="3"/>
      <c r="B117" s="3"/>
      <c r="C117" s="13"/>
      <c r="D117" s="13"/>
      <c r="E117" s="13"/>
      <c r="F117" s="13"/>
      <c r="G117" s="13"/>
      <c r="H117" s="13"/>
      <c r="I117" s="13"/>
      <c r="J117" s="63"/>
      <c r="K117" s="63"/>
      <c r="L117" s="143"/>
      <c r="M117" s="1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 spans="1:29" ht="27.75" customHeight="1">
      <c r="A118" s="3"/>
      <c r="B118" s="3"/>
      <c r="C118" s="13"/>
      <c r="D118" s="13"/>
      <c r="E118" s="13"/>
      <c r="F118" s="13"/>
      <c r="G118" s="13"/>
      <c r="H118" s="13"/>
      <c r="I118" s="13"/>
      <c r="J118" s="63"/>
      <c r="K118" s="63"/>
      <c r="L118" s="143"/>
      <c r="M118" s="1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 spans="1:29" ht="27.75" customHeight="1">
      <c r="A119" s="3"/>
      <c r="B119" s="3"/>
      <c r="C119" s="13"/>
      <c r="D119" s="13"/>
      <c r="E119" s="13"/>
      <c r="F119" s="13"/>
      <c r="G119" s="13"/>
      <c r="H119" s="13"/>
      <c r="I119" s="13"/>
      <c r="J119" s="63"/>
      <c r="K119" s="63"/>
      <c r="L119" s="143"/>
      <c r="M119" s="1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 spans="1:29" ht="27.75" customHeight="1">
      <c r="A120" s="3"/>
      <c r="B120" s="3"/>
      <c r="C120" s="13"/>
      <c r="D120" s="13"/>
      <c r="E120" s="13"/>
      <c r="F120" s="13"/>
      <c r="G120" s="13"/>
      <c r="H120" s="13"/>
      <c r="I120" s="13"/>
      <c r="J120" s="63"/>
      <c r="K120" s="63"/>
      <c r="L120" s="143"/>
      <c r="M120" s="1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 spans="1:29" ht="27.75" customHeight="1">
      <c r="A121" s="3"/>
      <c r="B121" s="3"/>
      <c r="C121" s="13"/>
      <c r="D121" s="13"/>
      <c r="E121" s="13"/>
      <c r="F121" s="13"/>
      <c r="G121" s="13"/>
      <c r="H121" s="13"/>
      <c r="I121" s="13"/>
      <c r="J121" s="63"/>
      <c r="K121" s="63"/>
      <c r="L121" s="143"/>
      <c r="M121" s="1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 spans="1:29" ht="27.75" customHeight="1">
      <c r="A122" s="3"/>
      <c r="B122" s="3"/>
      <c r="C122" s="13"/>
      <c r="D122" s="13"/>
      <c r="E122" s="13"/>
      <c r="F122" s="13"/>
      <c r="G122" s="13"/>
      <c r="H122" s="13"/>
      <c r="I122" s="13"/>
      <c r="J122" s="63"/>
      <c r="K122" s="63"/>
      <c r="L122" s="143"/>
      <c r="M122" s="1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 spans="1:29" ht="27.75" customHeight="1">
      <c r="A123" s="3"/>
      <c r="B123" s="3"/>
      <c r="C123" s="13"/>
      <c r="D123" s="13"/>
      <c r="E123" s="13"/>
      <c r="F123" s="13"/>
      <c r="G123" s="13"/>
      <c r="H123" s="13"/>
      <c r="I123" s="13"/>
      <c r="J123" s="63"/>
      <c r="K123" s="63"/>
      <c r="L123" s="143"/>
      <c r="M123" s="1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 spans="1:29" ht="27.75" customHeight="1">
      <c r="A124" s="3"/>
      <c r="B124" s="3"/>
      <c r="C124" s="13"/>
      <c r="D124" s="13"/>
      <c r="E124" s="13"/>
      <c r="F124" s="13"/>
      <c r="G124" s="13"/>
      <c r="H124" s="13"/>
      <c r="I124" s="13"/>
      <c r="J124" s="63"/>
      <c r="K124" s="63"/>
      <c r="L124" s="143"/>
      <c r="M124" s="1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spans="1:29" ht="27.75" customHeight="1">
      <c r="A125" s="3"/>
      <c r="B125" s="3"/>
      <c r="C125" s="13"/>
      <c r="D125" s="13"/>
      <c r="E125" s="13"/>
      <c r="F125" s="13"/>
      <c r="G125" s="13"/>
      <c r="H125" s="13"/>
      <c r="I125" s="13"/>
      <c r="J125" s="63"/>
      <c r="K125" s="63"/>
      <c r="L125" s="143"/>
      <c r="M125" s="1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spans="1:29" ht="27.75" customHeight="1">
      <c r="A126" s="3"/>
      <c r="B126" s="3"/>
      <c r="C126" s="3"/>
      <c r="D126" s="3"/>
      <c r="E126" s="3"/>
      <c r="F126" s="3"/>
      <c r="G126" s="3"/>
      <c r="H126" s="3"/>
      <c r="I126" s="3"/>
      <c r="J126" s="64"/>
      <c r="K126" s="64"/>
      <c r="L126" s="144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 spans="1:29" ht="27.75" customHeight="1">
      <c r="A127" s="3"/>
      <c r="B127" s="3"/>
      <c r="C127" s="3"/>
      <c r="D127" s="3"/>
      <c r="E127" s="3"/>
      <c r="F127" s="3"/>
      <c r="G127" s="3"/>
      <c r="H127" s="3"/>
      <c r="I127" s="3"/>
      <c r="J127" s="64"/>
      <c r="K127" s="64"/>
      <c r="L127" s="144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 spans="1:29" ht="27.75" customHeight="1">
      <c r="A128" s="3"/>
      <c r="B128" s="3"/>
      <c r="C128" s="3"/>
      <c r="D128" s="3"/>
      <c r="E128" s="3"/>
      <c r="F128" s="3"/>
      <c r="G128" s="3"/>
      <c r="H128" s="3"/>
      <c r="I128" s="3"/>
      <c r="J128" s="64"/>
      <c r="K128" s="64"/>
      <c r="L128" s="144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spans="1:29" ht="27.75" customHeight="1">
      <c r="A129" s="3"/>
      <c r="B129" s="3"/>
      <c r="C129" s="3"/>
      <c r="D129" s="3"/>
      <c r="E129" s="3"/>
      <c r="F129" s="3"/>
      <c r="G129" s="3"/>
      <c r="H129" s="3"/>
      <c r="I129" s="3"/>
      <c r="J129" s="64"/>
      <c r="K129" s="64"/>
      <c r="L129" s="144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 spans="1:29" ht="27.75" customHeight="1">
      <c r="A130" s="3"/>
      <c r="B130" s="3"/>
      <c r="C130" s="3"/>
      <c r="D130" s="3"/>
      <c r="E130" s="3"/>
      <c r="F130" s="3"/>
      <c r="G130" s="3"/>
      <c r="H130" s="3"/>
      <c r="I130" s="3"/>
      <c r="J130" s="64"/>
      <c r="K130" s="64"/>
      <c r="L130" s="144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 spans="1:29" ht="27.75" customHeight="1">
      <c r="A131" s="3"/>
      <c r="B131" s="3"/>
      <c r="C131" s="3"/>
      <c r="D131" s="3"/>
      <c r="E131" s="3"/>
      <c r="F131" s="3"/>
      <c r="G131" s="3"/>
      <c r="H131" s="3"/>
      <c r="I131" s="3"/>
      <c r="J131" s="64"/>
      <c r="K131" s="64"/>
      <c r="L131" s="144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 spans="1:29" ht="27.75" customHeight="1">
      <c r="A132" s="3"/>
      <c r="B132" s="3"/>
      <c r="C132" s="3"/>
      <c r="D132" s="3"/>
      <c r="E132" s="3"/>
      <c r="F132" s="3"/>
      <c r="G132" s="3"/>
      <c r="H132" s="3"/>
      <c r="I132" s="3"/>
      <c r="J132" s="64"/>
      <c r="K132" s="64"/>
      <c r="L132" s="144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 spans="1:29" ht="27.75" customHeight="1">
      <c r="A133" s="3"/>
      <c r="B133" s="3"/>
      <c r="C133" s="3"/>
      <c r="D133" s="3"/>
      <c r="E133" s="3"/>
      <c r="F133" s="3"/>
      <c r="G133" s="3"/>
      <c r="H133" s="3"/>
      <c r="I133" s="3"/>
      <c r="J133" s="64"/>
      <c r="K133" s="64"/>
      <c r="L133" s="144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 spans="1:29" ht="27.75" customHeight="1">
      <c r="A134" s="3"/>
      <c r="B134" s="3"/>
      <c r="C134" s="3"/>
      <c r="D134" s="3"/>
      <c r="E134" s="3"/>
      <c r="F134" s="3"/>
      <c r="G134" s="3"/>
      <c r="H134" s="3"/>
      <c r="I134" s="3"/>
      <c r="J134" s="64"/>
      <c r="K134" s="64"/>
      <c r="L134" s="144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 spans="1:29" ht="27.75" customHeight="1">
      <c r="A135" s="3"/>
      <c r="B135" s="3"/>
      <c r="C135" s="3"/>
      <c r="D135" s="3"/>
      <c r="E135" s="3"/>
      <c r="F135" s="3"/>
      <c r="G135" s="3"/>
      <c r="H135" s="3"/>
      <c r="I135" s="3"/>
      <c r="J135" s="64"/>
      <c r="K135" s="64"/>
      <c r="L135" s="144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 spans="1:29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64"/>
      <c r="K136" s="64"/>
      <c r="L136" s="144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 spans="1:29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64"/>
      <c r="K137" s="64"/>
      <c r="L137" s="144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 spans="1:29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64"/>
      <c r="K138" s="64"/>
      <c r="L138" s="144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 spans="1:2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64"/>
      <c r="K139" s="64"/>
      <c r="L139" s="144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 spans="1:29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64"/>
      <c r="K140" s="64"/>
      <c r="L140" s="144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 spans="1:29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64"/>
      <c r="K141" s="64"/>
      <c r="L141" s="144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 spans="1:29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64"/>
      <c r="K142" s="64"/>
      <c r="L142" s="144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 spans="1:29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64"/>
      <c r="K143" s="64"/>
      <c r="L143" s="144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 spans="1:29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64"/>
      <c r="K144" s="64"/>
      <c r="L144" s="144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 spans="1:29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64"/>
      <c r="K145" s="64"/>
      <c r="L145" s="144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spans="1:29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64"/>
      <c r="K146" s="64"/>
      <c r="L146" s="144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spans="1:29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64"/>
      <c r="K147" s="64"/>
      <c r="L147" s="144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spans="1:29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64"/>
      <c r="K148" s="64"/>
      <c r="L148" s="144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 spans="1:2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64"/>
      <c r="K149" s="64"/>
      <c r="L149" s="144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 spans="1:29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64"/>
      <c r="K150" s="64"/>
      <c r="L150" s="144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 spans="1:29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64"/>
      <c r="K151" s="64"/>
      <c r="L151" s="144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 spans="1:29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64"/>
      <c r="K152" s="64"/>
      <c r="L152" s="144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 spans="1:29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64"/>
      <c r="K153" s="64"/>
      <c r="L153" s="144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 spans="1:29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64"/>
      <c r="K154" s="64"/>
      <c r="L154" s="144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 spans="1:29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64"/>
      <c r="K155" s="64"/>
      <c r="L155" s="144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 spans="1:29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64"/>
      <c r="K156" s="64"/>
      <c r="L156" s="144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 spans="1:29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64"/>
      <c r="K157" s="64"/>
      <c r="L157" s="14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 spans="1:29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64"/>
      <c r="K158" s="64"/>
      <c r="L158" s="144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 spans="1:2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64"/>
      <c r="K159" s="64"/>
      <c r="L159" s="144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 spans="1:29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64"/>
      <c r="K160" s="64"/>
      <c r="L160" s="144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 spans="1:29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64"/>
      <c r="K161" s="64"/>
      <c r="L161" s="144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 spans="1:29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64"/>
      <c r="K162" s="64"/>
      <c r="L162" s="144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 spans="1:29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64"/>
      <c r="K163" s="64"/>
      <c r="L163" s="144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 spans="1:29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64"/>
      <c r="K164" s="64"/>
      <c r="L164" s="144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 spans="1:29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64"/>
      <c r="K165" s="64"/>
      <c r="L165" s="144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spans="1:29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64"/>
      <c r="K166" s="64"/>
      <c r="L166" s="144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spans="1:29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64"/>
      <c r="K167" s="64"/>
      <c r="L167" s="144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spans="1:29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64"/>
      <c r="K168" s="64"/>
      <c r="L168" s="144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 spans="1:2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64"/>
      <c r="K169" s="64"/>
      <c r="L169" s="144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 spans="1:29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64"/>
      <c r="K170" s="64"/>
      <c r="L170" s="144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 spans="1:29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64"/>
      <c r="K171" s="64"/>
      <c r="L171" s="144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 spans="1:29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64"/>
      <c r="K172" s="64"/>
      <c r="L172" s="144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64"/>
      <c r="K173" s="64"/>
      <c r="L173" s="144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 spans="1:29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64"/>
      <c r="K174" s="64"/>
      <c r="L174" s="144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spans="1:29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64"/>
      <c r="K175" s="64"/>
      <c r="L175" s="144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 spans="1:29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64"/>
      <c r="K176" s="64"/>
      <c r="L176" s="144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64"/>
      <c r="K177" s="64"/>
      <c r="L177" s="144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1:29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64"/>
      <c r="K178" s="64"/>
      <c r="L178" s="144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64"/>
      <c r="K179" s="64"/>
      <c r="L179" s="144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64"/>
      <c r="K180" s="64"/>
      <c r="L180" s="144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64"/>
      <c r="K181" s="64"/>
      <c r="L181" s="144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64"/>
      <c r="K182" s="64"/>
      <c r="L182" s="144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64"/>
      <c r="K183" s="64"/>
      <c r="L183" s="144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64"/>
      <c r="K184" s="64"/>
      <c r="L184" s="144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64"/>
      <c r="K185" s="64"/>
      <c r="L185" s="144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64"/>
      <c r="K186" s="64"/>
      <c r="L186" s="144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64"/>
      <c r="K187" s="64"/>
      <c r="L187" s="144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64"/>
      <c r="K188" s="64"/>
      <c r="L188" s="144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64"/>
      <c r="K189" s="64"/>
      <c r="L189" s="144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64"/>
      <c r="K190" s="64"/>
      <c r="L190" s="144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64"/>
      <c r="K191" s="64"/>
      <c r="L191" s="144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64"/>
      <c r="K192" s="64"/>
      <c r="L192" s="144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autoFilter ref="C5:M80" xr:uid="{00000000-0009-0000-0000-000000000000}">
    <sortState xmlns:xlrd2="http://schemas.microsoft.com/office/spreadsheetml/2017/richdata2" ref="C6:M80">
      <sortCondition ref="I5:I80"/>
    </sortState>
  </autoFilter>
  <conditionalFormatting sqref="I6:L19 I20:K20 I21:L25 I26 L26:L27 I27:L79 I81:L81">
    <cfRule type="containsText" dxfId="224" priority="17" operator="containsText" text="TBD">
      <formula>NOT(ISERROR(SEARCH(("TBD"),(I6))))</formula>
    </cfRule>
    <cfRule type="containsText" dxfId="223" priority="18" operator="containsText" text="Ganho">
      <formula>NOT(ISERROR(SEARCH(("Ganho"),(I6))))</formula>
    </cfRule>
    <cfRule type="containsText" dxfId="222" priority="19" operator="containsText" text="Per">
      <formula>NOT(ISERROR(SEARCH(("Per"),(I6))))</formula>
    </cfRule>
    <cfRule type="cellIs" dxfId="221" priority="20" operator="equal">
      <formula>"Rejeitado"</formula>
    </cfRule>
  </conditionalFormatting>
  <conditionalFormatting sqref="R6:R9">
    <cfRule type="containsText" dxfId="220" priority="1" operator="containsText" text="TBD">
      <formula>NOT(ISERROR(SEARCH(("TBD"),(R6))))</formula>
    </cfRule>
    <cfRule type="containsText" dxfId="219" priority="2" operator="containsText" text="Ganho">
      <formula>NOT(ISERROR(SEARCH(("Ganho"),(R6))))</formula>
    </cfRule>
    <cfRule type="containsText" dxfId="218" priority="3" operator="containsText" text="Per">
      <formula>NOT(ISERROR(SEARCH(("Per"),(R6))))</formula>
    </cfRule>
    <cfRule type="cellIs" dxfId="217" priority="4" operator="equal">
      <formula>"Rejeitado"</formula>
    </cfRule>
  </conditionalFormatting>
  <dataValidations count="3">
    <dataValidation type="list" allowBlank="1" showErrorMessage="1" sqref="R6:R9 I6:I79" xr:uid="{304EB413-9A05-9241-971B-B3CC5B2A4142}">
      <formula1>$R$6:$R$9</formula1>
    </dataValidation>
    <dataValidation type="list" allowBlank="1" showErrorMessage="1" sqref="E60:E79 E6:E58" xr:uid="{6C1E2628-E317-A049-93D2-B0ADD33441BB}">
      <formula1>$S$6:$S$7</formula1>
    </dataValidation>
    <dataValidation type="list" allowBlank="1" showErrorMessage="1" sqref="F6:F79" xr:uid="{30D0D9A0-01AB-B048-A960-0335E78D38A6}">
      <formula1>$T$6:$T$8</formula1>
    </dataValidation>
  </dataValidations>
  <pageMargins left="0.7" right="0.7" top="0.75" bottom="0.75" header="0" footer="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856FE-9BCA-3246-B52C-5A3317E7A59D}">
  <sheetPr codeName="Sheet9"/>
  <dimension ref="B2:I8"/>
  <sheetViews>
    <sheetView showGridLines="0" showRowColHeaders="0" zoomScaleNormal="100" zoomScaleSheetLayoutView="100" workbookViewId="0">
      <selection activeCell="K37" sqref="K37"/>
    </sheetView>
  </sheetViews>
  <sheetFormatPr baseColWidth="10" defaultColWidth="11" defaultRowHeight="16"/>
  <cols>
    <col min="1" max="1" width="4.83203125" customWidth="1"/>
    <col min="21" max="21" width="16.83203125" customWidth="1"/>
  </cols>
  <sheetData>
    <row r="2" spans="2:9" ht="16" customHeight="1">
      <c r="E2" s="332">
        <v>2025</v>
      </c>
      <c r="F2" s="332"/>
      <c r="G2" s="332"/>
    </row>
    <row r="3" spans="2:9" ht="16" customHeight="1">
      <c r="E3" s="332"/>
      <c r="F3" s="332"/>
      <c r="G3" s="332"/>
    </row>
    <row r="4" spans="2:9" ht="16" customHeight="1">
      <c r="E4" s="332"/>
      <c r="F4" s="332"/>
      <c r="G4" s="332"/>
    </row>
    <row r="5" spans="2:9" ht="16" customHeight="1">
      <c r="B5" s="331" t="s">
        <v>666</v>
      </c>
      <c r="C5" s="331"/>
      <c r="D5" s="331"/>
      <c r="E5" s="331"/>
      <c r="F5" s="331"/>
      <c r="G5" s="331"/>
      <c r="H5" s="331"/>
      <c r="I5" s="212"/>
    </row>
    <row r="6" spans="2:9" ht="16" customHeight="1">
      <c r="B6" s="331"/>
      <c r="C6" s="331"/>
      <c r="D6" s="331"/>
      <c r="E6" s="331"/>
      <c r="F6" s="331"/>
      <c r="G6" s="331"/>
      <c r="H6" s="331"/>
      <c r="I6" s="212"/>
    </row>
    <row r="7" spans="2:9" ht="16" customHeight="1">
      <c r="B7" s="331"/>
      <c r="C7" s="331"/>
      <c r="D7" s="331"/>
      <c r="E7" s="331"/>
      <c r="F7" s="331"/>
      <c r="G7" s="331"/>
      <c r="H7" s="331"/>
      <c r="I7" s="212"/>
    </row>
    <row r="8" spans="2:9" ht="16" customHeight="1">
      <c r="B8" s="213"/>
      <c r="C8" s="212"/>
      <c r="D8" s="212"/>
      <c r="E8" s="212"/>
      <c r="F8" s="212"/>
      <c r="G8" s="212"/>
      <c r="I8" s="212"/>
    </row>
  </sheetData>
  <sheetProtection sheet="1" objects="1" scenarios="1" selectLockedCells="1" selectUnlockedCells="1"/>
  <mergeCells count="2">
    <mergeCell ref="E2:G4"/>
    <mergeCell ref="B5:H7"/>
  </mergeCells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G1048574"/>
  <sheetViews>
    <sheetView showGridLines="0" topLeftCell="D1" zoomScale="95" zoomScaleNormal="95" workbookViewId="0">
      <pane ySplit="6" topLeftCell="A19" activePane="bottomLeft" state="frozen"/>
      <selection pane="bottomLeft" activeCell="G19" sqref="G19"/>
    </sheetView>
  </sheetViews>
  <sheetFormatPr baseColWidth="10" defaultColWidth="11.1640625" defaultRowHeight="15" customHeight="1"/>
  <cols>
    <col min="1" max="1" width="3" customWidth="1"/>
    <col min="2" max="2" width="9" customWidth="1"/>
    <col min="3" max="3" width="24.83203125" hidden="1" customWidth="1"/>
    <col min="4" max="4" width="38" customWidth="1"/>
    <col min="5" max="5" width="28.83203125" customWidth="1"/>
    <col min="6" max="6" width="19.33203125" customWidth="1"/>
    <col min="7" max="7" width="24.83203125" customWidth="1"/>
    <col min="8" max="8" width="18.33203125" customWidth="1"/>
    <col min="9" max="9" width="11.5" customWidth="1"/>
    <col min="10" max="10" width="10.1640625" customWidth="1"/>
    <col min="11" max="12" width="6.83203125" customWidth="1"/>
    <col min="13" max="13" width="6.1640625" customWidth="1"/>
    <col min="14" max="14" width="6.33203125" customWidth="1"/>
    <col min="15" max="15" width="15.5" customWidth="1"/>
    <col min="16" max="16" width="19" customWidth="1"/>
    <col min="17" max="17" width="15.33203125" customWidth="1"/>
    <col min="18" max="18" width="24.5" customWidth="1"/>
    <col min="19" max="19" width="14.6640625" bestFit="1" customWidth="1"/>
    <col min="20" max="20" width="13.33203125" customWidth="1"/>
    <col min="21" max="21" width="8.83203125" customWidth="1"/>
    <col min="22" max="22" width="13.5" bestFit="1" customWidth="1"/>
    <col min="23" max="23" width="8.83203125" customWidth="1"/>
    <col min="24" max="24" width="13.83203125" customWidth="1"/>
    <col min="25" max="33" width="10.5" customWidth="1"/>
  </cols>
  <sheetData>
    <row r="1" spans="1:33" ht="13" customHeight="1">
      <c r="A1" s="1"/>
      <c r="B1" s="1"/>
      <c r="C1" s="1"/>
      <c r="D1" s="1"/>
      <c r="E1" s="1" t="s">
        <v>0</v>
      </c>
      <c r="F1" s="1" t="s">
        <v>0</v>
      </c>
      <c r="G1" s="1" t="s">
        <v>0</v>
      </c>
      <c r="H1" s="1"/>
      <c r="I1" s="1"/>
      <c r="J1" s="1"/>
      <c r="K1" s="1" t="s">
        <v>0</v>
      </c>
      <c r="L1" s="1" t="s">
        <v>0</v>
      </c>
      <c r="M1" s="1" t="s">
        <v>0</v>
      </c>
      <c r="N1" s="1" t="s">
        <v>0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42.75" customHeight="1">
      <c r="A2" s="1"/>
      <c r="B2" s="2" t="s">
        <v>133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8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3" ht="16" customHeight="1"/>
    <row r="5" spans="1:33" ht="16" customHeight="1">
      <c r="D5" s="326" t="s">
        <v>134</v>
      </c>
      <c r="E5" s="326"/>
      <c r="F5" s="326"/>
      <c r="G5" s="326"/>
      <c r="H5" s="326"/>
      <c r="I5" s="326"/>
      <c r="J5" s="326"/>
      <c r="K5" s="327" t="s">
        <v>135</v>
      </c>
      <c r="L5" s="327"/>
      <c r="M5" s="327"/>
      <c r="N5" s="327"/>
      <c r="O5" s="327"/>
      <c r="P5" s="327"/>
      <c r="Q5" s="65"/>
      <c r="R5" s="65"/>
      <c r="S5" s="65"/>
      <c r="T5" s="65"/>
      <c r="U5" s="65"/>
      <c r="V5" s="65"/>
      <c r="W5" s="65"/>
    </row>
    <row r="6" spans="1:33" s="71" customFormat="1" ht="30" customHeight="1">
      <c r="A6" s="66"/>
      <c r="B6" s="66"/>
      <c r="C6" s="67" t="s">
        <v>13</v>
      </c>
      <c r="D6" s="67" t="s">
        <v>2</v>
      </c>
      <c r="E6" s="67" t="s">
        <v>3</v>
      </c>
      <c r="F6" s="67" t="s">
        <v>4</v>
      </c>
      <c r="G6" s="67" t="s">
        <v>5</v>
      </c>
      <c r="H6" s="67" t="s">
        <v>25</v>
      </c>
      <c r="I6" s="68" t="s">
        <v>136</v>
      </c>
      <c r="J6" s="68"/>
      <c r="K6" s="67" t="s">
        <v>137</v>
      </c>
      <c r="L6" s="67" t="s">
        <v>138</v>
      </c>
      <c r="M6" s="67" t="s">
        <v>139</v>
      </c>
      <c r="N6" s="67" t="s">
        <v>140</v>
      </c>
      <c r="O6" s="69" t="s">
        <v>141</v>
      </c>
      <c r="P6" s="67" t="s">
        <v>142</v>
      </c>
      <c r="Q6" s="67" t="s">
        <v>8</v>
      </c>
      <c r="R6" s="70" t="s">
        <v>12</v>
      </c>
      <c r="S6" s="67" t="s">
        <v>143</v>
      </c>
      <c r="T6" s="67" t="s">
        <v>144</v>
      </c>
      <c r="U6" s="67" t="s">
        <v>145</v>
      </c>
      <c r="V6" s="67" t="s">
        <v>10</v>
      </c>
      <c r="W6" s="67" t="s">
        <v>11</v>
      </c>
      <c r="X6" s="66"/>
      <c r="Y6" s="66"/>
      <c r="Z6" s="66"/>
      <c r="AA6" s="66"/>
      <c r="AB6" s="66"/>
      <c r="AC6" s="66"/>
      <c r="AD6" s="66"/>
      <c r="AE6" s="66"/>
      <c r="AF6" s="66"/>
      <c r="AG6" s="66"/>
    </row>
    <row r="7" spans="1:33" ht="27.75" customHeight="1">
      <c r="A7" s="3"/>
      <c r="B7" s="7"/>
      <c r="C7" s="8" t="s">
        <v>35</v>
      </c>
      <c r="D7" s="76" t="s">
        <v>146</v>
      </c>
      <c r="E7" s="76">
        <v>360</v>
      </c>
      <c r="F7" s="76" t="s">
        <v>19</v>
      </c>
      <c r="G7" s="76" t="s">
        <v>20</v>
      </c>
      <c r="H7" s="77"/>
      <c r="I7" s="78" t="s">
        <v>34</v>
      </c>
      <c r="J7" s="78" t="s">
        <v>22</v>
      </c>
      <c r="K7" s="79"/>
      <c r="L7" s="81">
        <v>1</v>
      </c>
      <c r="M7" s="79"/>
      <c r="N7" s="80"/>
      <c r="O7" s="84">
        <f>SUM(K7:M7)</f>
        <v>1</v>
      </c>
      <c r="P7" s="123"/>
      <c r="Q7" s="76" t="s">
        <v>147</v>
      </c>
      <c r="R7" s="114"/>
      <c r="S7" s="72">
        <f>69710.95+4200</f>
        <v>73910.95</v>
      </c>
      <c r="T7" s="72">
        <f>32856.79+4200</f>
        <v>37056.79</v>
      </c>
      <c r="U7" s="74">
        <f>T7/S7</f>
        <v>0.50137077117801898</v>
      </c>
      <c r="V7" s="151">
        <f>T7/4*12</f>
        <v>111170.37</v>
      </c>
      <c r="W7" s="129">
        <v>2</v>
      </c>
      <c r="X7" s="12"/>
      <c r="Y7" s="3"/>
      <c r="Z7" s="3"/>
      <c r="AA7" s="3"/>
      <c r="AB7" s="3"/>
      <c r="AC7" s="3"/>
      <c r="AD7" s="3"/>
      <c r="AE7" s="3"/>
      <c r="AF7" s="3"/>
      <c r="AG7" s="3"/>
    </row>
    <row r="8" spans="1:33" ht="27.75" customHeight="1">
      <c r="A8" s="3"/>
      <c r="B8" s="7"/>
      <c r="C8" s="8" t="s">
        <v>30</v>
      </c>
      <c r="D8" s="76" t="s">
        <v>148</v>
      </c>
      <c r="E8" s="76" t="s">
        <v>149</v>
      </c>
      <c r="F8" s="76" t="s">
        <v>19</v>
      </c>
      <c r="G8" s="76" t="s">
        <v>32</v>
      </c>
      <c r="H8" s="77">
        <f>9501+28950</f>
        <v>38451</v>
      </c>
      <c r="I8" s="78" t="s">
        <v>29</v>
      </c>
      <c r="J8" s="78" t="s">
        <v>22</v>
      </c>
      <c r="K8" s="79"/>
      <c r="L8" s="100"/>
      <c r="M8" s="86">
        <v>1</v>
      </c>
      <c r="N8" s="80"/>
      <c r="O8" s="84">
        <f>SUM(K8:M8)</f>
        <v>1</v>
      </c>
      <c r="P8" s="75"/>
      <c r="Q8" s="76" t="s">
        <v>147</v>
      </c>
      <c r="R8" s="114"/>
      <c r="S8" s="72">
        <v>39273.550000000003</v>
      </c>
      <c r="T8" s="72">
        <v>39169.15</v>
      </c>
      <c r="U8" s="73">
        <f>T8/S8</f>
        <v>0.99734172235512197</v>
      </c>
      <c r="V8" s="151">
        <f>T8/4*12</f>
        <v>117507.45000000001</v>
      </c>
      <c r="W8" s="129">
        <v>2</v>
      </c>
      <c r="X8" s="12"/>
      <c r="Y8" s="3"/>
      <c r="Z8" s="3"/>
      <c r="AA8" s="3"/>
      <c r="AB8" s="3"/>
      <c r="AC8" s="3"/>
      <c r="AD8" s="3"/>
      <c r="AE8" s="3"/>
      <c r="AF8" s="3"/>
      <c r="AG8" s="3"/>
    </row>
    <row r="9" spans="1:33" ht="27.75" customHeight="1">
      <c r="A9" s="3"/>
      <c r="B9" s="7"/>
      <c r="C9" s="8" t="s">
        <v>30</v>
      </c>
      <c r="D9" s="76" t="s">
        <v>150</v>
      </c>
      <c r="E9" s="76" t="s">
        <v>151</v>
      </c>
      <c r="F9" s="76" t="s">
        <v>28</v>
      </c>
      <c r="G9" s="76" t="s">
        <v>25</v>
      </c>
      <c r="H9" s="77">
        <f>51879+(4200*12)</f>
        <v>102279</v>
      </c>
      <c r="I9" s="78" t="s">
        <v>44</v>
      </c>
      <c r="J9" s="78" t="s">
        <v>45</v>
      </c>
      <c r="K9" s="79"/>
      <c r="L9" s="85"/>
      <c r="M9" s="86">
        <v>1</v>
      </c>
      <c r="N9" s="80"/>
      <c r="O9" s="84">
        <f>SUM(K9:M9)</f>
        <v>1</v>
      </c>
      <c r="P9" s="75"/>
      <c r="Q9" s="76" t="s">
        <v>147</v>
      </c>
      <c r="R9" s="114"/>
      <c r="S9" s="153">
        <f>H9</f>
        <v>102279</v>
      </c>
      <c r="T9" s="153">
        <f>(0.9*51850)+(4200*12)</f>
        <v>97065</v>
      </c>
      <c r="U9" s="8"/>
      <c r="V9" s="151">
        <f>T9</f>
        <v>97065</v>
      </c>
      <c r="W9" s="129">
        <v>2</v>
      </c>
      <c r="X9" s="12"/>
      <c r="Y9" s="3"/>
      <c r="Z9" s="3" t="s">
        <v>60</v>
      </c>
      <c r="AA9" t="s">
        <v>152</v>
      </c>
      <c r="AB9" s="3" t="s">
        <v>153</v>
      </c>
      <c r="AC9" s="3"/>
      <c r="AD9" s="3"/>
      <c r="AE9" s="3"/>
      <c r="AF9" s="3"/>
      <c r="AG9" s="3"/>
    </row>
    <row r="10" spans="1:33" ht="27.75" customHeight="1">
      <c r="A10" s="3"/>
      <c r="B10" s="7"/>
      <c r="C10" s="8" t="s">
        <v>35</v>
      </c>
      <c r="D10" s="76" t="s">
        <v>154</v>
      </c>
      <c r="E10" s="76" t="s">
        <v>41</v>
      </c>
      <c r="F10" s="76" t="s">
        <v>19</v>
      </c>
      <c r="G10" s="76" t="s">
        <v>25</v>
      </c>
      <c r="H10" s="77">
        <v>9480</v>
      </c>
      <c r="I10" s="78" t="s">
        <v>48</v>
      </c>
      <c r="J10" s="78" t="s">
        <v>45</v>
      </c>
      <c r="K10" s="79"/>
      <c r="L10" s="81">
        <v>1</v>
      </c>
      <c r="M10" s="111"/>
      <c r="N10" s="83">
        <v>1</v>
      </c>
      <c r="O10" s="129">
        <f t="shared" ref="O10:O22" si="0">SUM(K10:N10)</f>
        <v>2</v>
      </c>
      <c r="P10" s="124" t="s">
        <v>155</v>
      </c>
      <c r="Q10" s="76" t="s">
        <v>147</v>
      </c>
      <c r="R10" s="114"/>
      <c r="S10" s="116">
        <v>9480</v>
      </c>
      <c r="T10" s="72">
        <v>7875.1</v>
      </c>
      <c r="U10" s="74">
        <f>T10/S10</f>
        <v>0.83070675105485237</v>
      </c>
      <c r="V10" s="151"/>
      <c r="W10" s="152">
        <v>3</v>
      </c>
      <c r="X10" s="3"/>
      <c r="Y10" s="3" t="s">
        <v>156</v>
      </c>
      <c r="Z10" s="32">
        <v>15</v>
      </c>
      <c r="AA10" s="57">
        <v>11</v>
      </c>
      <c r="AB10" s="57">
        <v>4</v>
      </c>
      <c r="AC10" s="58">
        <f>AA10/Z10</f>
        <v>0.73333333333333328</v>
      </c>
      <c r="AD10" s="3"/>
      <c r="AE10" s="3"/>
      <c r="AF10" s="3"/>
      <c r="AG10" s="3"/>
    </row>
    <row r="11" spans="1:33" ht="27.75" customHeight="1">
      <c r="A11" s="3"/>
      <c r="B11" s="7"/>
      <c r="C11" s="8" t="s">
        <v>30</v>
      </c>
      <c r="D11" s="76" t="s">
        <v>127</v>
      </c>
      <c r="E11" s="76" t="s">
        <v>56</v>
      </c>
      <c r="F11" s="76" t="s">
        <v>28</v>
      </c>
      <c r="G11" s="76" t="s">
        <v>25</v>
      </c>
      <c r="H11" s="77"/>
      <c r="I11" s="78" t="s">
        <v>29</v>
      </c>
      <c r="J11" s="78" t="s">
        <v>22</v>
      </c>
      <c r="K11" s="87"/>
      <c r="L11" s="87"/>
      <c r="M11" s="99">
        <v>1</v>
      </c>
      <c r="N11" s="83">
        <v>1</v>
      </c>
      <c r="O11" s="129">
        <f t="shared" si="0"/>
        <v>2</v>
      </c>
      <c r="P11" s="75" t="s">
        <v>157</v>
      </c>
      <c r="Q11" s="76" t="s">
        <v>147</v>
      </c>
      <c r="R11" s="115"/>
      <c r="S11" s="72">
        <v>7702</v>
      </c>
      <c r="T11" s="72">
        <v>7216</v>
      </c>
      <c r="U11" s="74">
        <f>T11/S11</f>
        <v>0.93689950662165666</v>
      </c>
      <c r="V11" s="151"/>
      <c r="W11" s="152">
        <v>3</v>
      </c>
      <c r="X11" s="3"/>
      <c r="Y11" s="3" t="s">
        <v>158</v>
      </c>
      <c r="Z11" s="32">
        <f>SUM(AA11+AB11)</f>
        <v>31</v>
      </c>
      <c r="AA11" s="57">
        <v>15</v>
      </c>
      <c r="AB11" s="57">
        <v>16</v>
      </c>
      <c r="AC11" s="58">
        <f>AA11/Z11</f>
        <v>0.4838709677419355</v>
      </c>
      <c r="AD11" s="3"/>
      <c r="AE11" s="3"/>
      <c r="AF11" s="3"/>
      <c r="AG11" s="3"/>
    </row>
    <row r="12" spans="1:33" ht="27.75" customHeight="1">
      <c r="A12" s="3"/>
      <c r="B12" s="7"/>
      <c r="C12" s="8" t="s">
        <v>30</v>
      </c>
      <c r="D12" s="76" t="s">
        <v>159</v>
      </c>
      <c r="E12" s="76" t="s">
        <v>77</v>
      </c>
      <c r="F12" s="76" t="s">
        <v>19</v>
      </c>
      <c r="G12" s="76" t="s">
        <v>25</v>
      </c>
      <c r="H12" s="77">
        <v>15580</v>
      </c>
      <c r="I12" s="78" t="s">
        <v>34</v>
      </c>
      <c r="J12" s="78" t="s">
        <v>22</v>
      </c>
      <c r="K12" s="166"/>
      <c r="L12" s="167">
        <v>1</v>
      </c>
      <c r="M12" s="101">
        <v>1</v>
      </c>
      <c r="N12" s="168"/>
      <c r="O12" s="158">
        <f t="shared" si="0"/>
        <v>2</v>
      </c>
      <c r="P12" s="75"/>
      <c r="Q12" s="76" t="s">
        <v>147</v>
      </c>
      <c r="R12" s="115"/>
      <c r="S12" s="72">
        <v>15580</v>
      </c>
      <c r="T12" s="72">
        <v>15580</v>
      </c>
      <c r="U12" s="74">
        <f>T12/S12</f>
        <v>1</v>
      </c>
      <c r="V12" s="151">
        <f>T12/5*12</f>
        <v>37392</v>
      </c>
      <c r="W12" s="152">
        <v>3</v>
      </c>
      <c r="X12" s="3"/>
      <c r="Y12" s="3" t="s">
        <v>160</v>
      </c>
      <c r="Z12" s="32">
        <f>SUM(AA12+AB12)</f>
        <v>10</v>
      </c>
      <c r="AA12" s="57">
        <v>8</v>
      </c>
      <c r="AB12" s="57">
        <v>2</v>
      </c>
      <c r="AC12" s="58">
        <f>AA12/Z12</f>
        <v>0.8</v>
      </c>
      <c r="AD12" s="3"/>
      <c r="AE12" s="3"/>
      <c r="AF12" s="3"/>
      <c r="AG12" s="3"/>
    </row>
    <row r="13" spans="1:33" ht="27.75" customHeight="1">
      <c r="A13" s="3"/>
      <c r="B13" s="7"/>
      <c r="C13" s="8" t="s">
        <v>30</v>
      </c>
      <c r="D13" s="76" t="s">
        <v>161</v>
      </c>
      <c r="E13" s="76" t="s">
        <v>27</v>
      </c>
      <c r="F13" s="76" t="s">
        <v>19</v>
      </c>
      <c r="G13" s="76" t="s">
        <v>20</v>
      </c>
      <c r="H13" s="77">
        <v>49500</v>
      </c>
      <c r="I13" s="78" t="s">
        <v>59</v>
      </c>
      <c r="J13" s="164" t="s">
        <v>45</v>
      </c>
      <c r="K13" s="81">
        <v>1</v>
      </c>
      <c r="L13" s="81">
        <v>1</v>
      </c>
      <c r="M13" s="79"/>
      <c r="N13" s="80"/>
      <c r="O13" s="158">
        <f t="shared" si="0"/>
        <v>2</v>
      </c>
      <c r="P13" s="75"/>
      <c r="Q13" s="76" t="s">
        <v>147</v>
      </c>
      <c r="R13" s="114"/>
      <c r="S13" s="153">
        <v>49500</v>
      </c>
      <c r="T13" s="72"/>
      <c r="U13" s="8"/>
      <c r="V13" s="151">
        <f>S13/5*12</f>
        <v>118800</v>
      </c>
      <c r="W13" s="156">
        <v>2</v>
      </c>
      <c r="X13" s="3"/>
      <c r="Y13" s="3" t="s">
        <v>53</v>
      </c>
      <c r="Z13" s="32">
        <f>SUM(AA13+AB13)</f>
        <v>15</v>
      </c>
      <c r="AA13" s="57">
        <v>6</v>
      </c>
      <c r="AB13" s="57">
        <v>9</v>
      </c>
      <c r="AC13" s="58">
        <f>AA13/Z13</f>
        <v>0.4</v>
      </c>
      <c r="AD13" s="3"/>
      <c r="AE13" s="3"/>
      <c r="AF13" s="3"/>
      <c r="AG13" s="3"/>
    </row>
    <row r="14" spans="1:33" ht="27.75" customHeight="1">
      <c r="A14" s="3"/>
      <c r="B14" s="7"/>
      <c r="C14" s="8" t="s">
        <v>30</v>
      </c>
      <c r="D14" s="76" t="s">
        <v>162</v>
      </c>
      <c r="E14" s="76" t="s">
        <v>27</v>
      </c>
      <c r="F14" s="76" t="s">
        <v>19</v>
      </c>
      <c r="G14" s="76" t="s">
        <v>20</v>
      </c>
      <c r="H14" s="77">
        <v>49063.61</v>
      </c>
      <c r="I14" s="90" t="s">
        <v>48</v>
      </c>
      <c r="J14" s="164" t="s">
        <v>45</v>
      </c>
      <c r="K14" s="79"/>
      <c r="L14" s="81">
        <v>1</v>
      </c>
      <c r="M14" s="79"/>
      <c r="N14" s="83">
        <v>1</v>
      </c>
      <c r="O14" s="129">
        <f t="shared" si="0"/>
        <v>2</v>
      </c>
      <c r="P14" s="75" t="s">
        <v>163</v>
      </c>
      <c r="Q14" s="76" t="s">
        <v>147</v>
      </c>
      <c r="R14" s="114"/>
      <c r="S14" s="72">
        <v>49063.61</v>
      </c>
      <c r="T14" s="72">
        <v>10208.44</v>
      </c>
      <c r="U14" s="74">
        <f>T14/S14</f>
        <v>0.20806540733549775</v>
      </c>
      <c r="V14" s="151">
        <f>T14/2*12</f>
        <v>61250.64</v>
      </c>
      <c r="W14" s="157">
        <v>3</v>
      </c>
      <c r="X14" s="14"/>
      <c r="Y14" s="59" t="s">
        <v>50</v>
      </c>
      <c r="Z14" s="32">
        <v>56</v>
      </c>
      <c r="AA14" s="57">
        <f>SUM(AA10:AA12)</f>
        <v>34</v>
      </c>
      <c r="AB14" s="57">
        <f>SUM(AB10:AB12)</f>
        <v>22</v>
      </c>
      <c r="AC14" s="58">
        <f>AA14/Z14</f>
        <v>0.6071428571428571</v>
      </c>
      <c r="AD14" s="3"/>
      <c r="AE14" s="3"/>
      <c r="AF14" s="3"/>
      <c r="AG14" s="3"/>
    </row>
    <row r="15" spans="1:33" ht="27.75" customHeight="1">
      <c r="A15" s="3"/>
      <c r="B15" s="7"/>
      <c r="C15" s="8" t="s">
        <v>30</v>
      </c>
      <c r="D15" s="76" t="s">
        <v>164</v>
      </c>
      <c r="E15" s="76" t="s">
        <v>165</v>
      </c>
      <c r="F15" s="76" t="s">
        <v>19</v>
      </c>
      <c r="G15" s="76" t="s">
        <v>25</v>
      </c>
      <c r="H15" s="77">
        <f>35100+10100</f>
        <v>45200</v>
      </c>
      <c r="I15" s="78" t="s">
        <v>48</v>
      </c>
      <c r="J15" s="78" t="s">
        <v>45</v>
      </c>
      <c r="K15" s="173"/>
      <c r="L15" s="108">
        <v>1</v>
      </c>
      <c r="M15" s="174">
        <v>1</v>
      </c>
      <c r="N15" s="175"/>
      <c r="O15" s="158">
        <f t="shared" si="0"/>
        <v>2</v>
      </c>
      <c r="P15" s="75"/>
      <c r="Q15" s="76" t="s">
        <v>147</v>
      </c>
      <c r="R15" s="114"/>
      <c r="S15" s="153">
        <f>H15</f>
        <v>45200</v>
      </c>
      <c r="T15" s="153">
        <f>S15*0.8</f>
        <v>36160</v>
      </c>
      <c r="U15" s="154">
        <f>T15/S15</f>
        <v>0.8</v>
      </c>
      <c r="V15" s="151">
        <f>T15/5*12</f>
        <v>86784</v>
      </c>
      <c r="W15" s="156">
        <v>2</v>
      </c>
      <c r="X15" s="14"/>
      <c r="Y15" s="3"/>
      <c r="Z15" s="16"/>
      <c r="AA15" s="3"/>
      <c r="AB15" s="3"/>
      <c r="AC15" s="3"/>
      <c r="AD15" s="3"/>
      <c r="AE15" s="3"/>
      <c r="AF15" s="3"/>
      <c r="AG15" s="3"/>
    </row>
    <row r="16" spans="1:33" ht="27.75" customHeight="1">
      <c r="A16" s="3"/>
      <c r="B16" s="7"/>
      <c r="C16" s="8" t="s">
        <v>30</v>
      </c>
      <c r="D16" s="76" t="s">
        <v>166</v>
      </c>
      <c r="E16" s="76" t="s">
        <v>167</v>
      </c>
      <c r="F16" s="76" t="s">
        <v>19</v>
      </c>
      <c r="G16" s="76" t="s">
        <v>25</v>
      </c>
      <c r="H16" s="77">
        <v>4928</v>
      </c>
      <c r="I16" s="78" t="s">
        <v>48</v>
      </c>
      <c r="J16" s="78" t="s">
        <v>45</v>
      </c>
      <c r="K16" s="166"/>
      <c r="L16" s="166"/>
      <c r="M16" s="167">
        <v>1</v>
      </c>
      <c r="N16" s="169">
        <v>1</v>
      </c>
      <c r="O16" s="129">
        <f t="shared" si="0"/>
        <v>2</v>
      </c>
      <c r="P16" s="75"/>
      <c r="Q16" s="76" t="s">
        <v>147</v>
      </c>
      <c r="R16" s="114"/>
      <c r="S16" s="72">
        <v>4928</v>
      </c>
      <c r="T16" s="72">
        <v>4928</v>
      </c>
      <c r="U16" s="74">
        <f>T16/S16</f>
        <v>1</v>
      </c>
      <c r="V16" s="151">
        <f>T16/4*12</f>
        <v>14784</v>
      </c>
      <c r="W16" s="157">
        <v>3</v>
      </c>
      <c r="X16" s="14"/>
      <c r="AD16" s="3"/>
      <c r="AE16" s="3"/>
      <c r="AF16" s="3"/>
      <c r="AG16" s="3"/>
    </row>
    <row r="17" spans="1:33" ht="27.75" customHeight="1">
      <c r="A17" s="3"/>
      <c r="B17" s="7"/>
      <c r="C17" s="8" t="s">
        <v>30</v>
      </c>
      <c r="D17" s="76" t="s">
        <v>168</v>
      </c>
      <c r="E17" s="76" t="s">
        <v>27</v>
      </c>
      <c r="F17" s="76" t="s">
        <v>19</v>
      </c>
      <c r="G17" s="76" t="s">
        <v>20</v>
      </c>
      <c r="H17" s="77">
        <v>62400</v>
      </c>
      <c r="I17" s="78" t="s">
        <v>75</v>
      </c>
      <c r="J17" s="164" t="s">
        <v>69</v>
      </c>
      <c r="K17" s="79"/>
      <c r="L17" s="81">
        <v>1</v>
      </c>
      <c r="M17" s="81">
        <v>1</v>
      </c>
      <c r="N17" s="80"/>
      <c r="O17" s="158">
        <f t="shared" si="0"/>
        <v>2</v>
      </c>
      <c r="P17" s="75"/>
      <c r="Q17" s="76" t="s">
        <v>147</v>
      </c>
      <c r="R17" s="115"/>
      <c r="S17" s="72"/>
      <c r="T17" s="72">
        <v>27450</v>
      </c>
      <c r="U17" s="8"/>
      <c r="V17" s="151">
        <f>T17/5*12</f>
        <v>65880</v>
      </c>
      <c r="W17" s="152">
        <v>3</v>
      </c>
      <c r="X17" s="14"/>
      <c r="Y17" s="3"/>
      <c r="Z17" s="3"/>
      <c r="AA17" s="3"/>
      <c r="AB17" s="3"/>
      <c r="AC17" s="3"/>
      <c r="AD17" s="3"/>
      <c r="AE17" s="3"/>
      <c r="AF17" s="3"/>
      <c r="AG17" s="3"/>
    </row>
    <row r="18" spans="1:33" ht="27.75" customHeight="1">
      <c r="A18" s="3"/>
      <c r="B18" s="7"/>
      <c r="C18" s="8" t="s">
        <v>30</v>
      </c>
      <c r="D18" s="76" t="s">
        <v>169</v>
      </c>
      <c r="E18" s="76" t="s">
        <v>124</v>
      </c>
      <c r="F18" s="76" t="s">
        <v>28</v>
      </c>
      <c r="G18" s="76" t="s">
        <v>32</v>
      </c>
      <c r="H18" s="77">
        <v>100000</v>
      </c>
      <c r="I18" s="78" t="s">
        <v>75</v>
      </c>
      <c r="J18" s="78" t="s">
        <v>69</v>
      </c>
      <c r="K18" s="174">
        <v>1</v>
      </c>
      <c r="L18" s="119"/>
      <c r="M18" s="128">
        <v>1</v>
      </c>
      <c r="N18" s="175"/>
      <c r="O18" s="158">
        <f t="shared" si="0"/>
        <v>2</v>
      </c>
      <c r="P18" s="75"/>
      <c r="Q18" s="76" t="s">
        <v>147</v>
      </c>
      <c r="R18" s="114"/>
      <c r="S18" s="72"/>
      <c r="T18" s="72"/>
      <c r="U18" s="8"/>
      <c r="V18" s="151"/>
      <c r="W18" s="156">
        <v>2</v>
      </c>
      <c r="X18" s="3"/>
      <c r="Y18" s="3">
        <v>16</v>
      </c>
      <c r="Z18" s="3"/>
      <c r="AA18" s="3"/>
      <c r="AB18" s="3"/>
      <c r="AC18" s="3"/>
      <c r="AD18" s="3"/>
      <c r="AE18" s="3"/>
      <c r="AF18" s="3"/>
      <c r="AG18" s="3"/>
    </row>
    <row r="19" spans="1:33" ht="27.75" customHeight="1">
      <c r="A19" s="3"/>
      <c r="B19" s="7"/>
      <c r="C19" s="8" t="s">
        <v>30</v>
      </c>
      <c r="D19" s="76" t="s">
        <v>170</v>
      </c>
      <c r="E19" s="97" t="s">
        <v>165</v>
      </c>
      <c r="F19" s="76" t="s">
        <v>19</v>
      </c>
      <c r="G19" s="76" t="s">
        <v>25</v>
      </c>
      <c r="H19" s="77"/>
      <c r="I19" s="78" t="s">
        <v>75</v>
      </c>
      <c r="J19" s="78" t="s">
        <v>69</v>
      </c>
      <c r="K19" s="93"/>
      <c r="L19" s="95"/>
      <c r="M19" s="96">
        <v>1</v>
      </c>
      <c r="N19" s="83">
        <v>1</v>
      </c>
      <c r="O19" s="129">
        <f t="shared" si="0"/>
        <v>2</v>
      </c>
      <c r="P19" s="75" t="s">
        <v>171</v>
      </c>
      <c r="Q19" s="76" t="s">
        <v>147</v>
      </c>
      <c r="R19" s="115"/>
      <c r="S19" s="72">
        <v>16750</v>
      </c>
      <c r="T19" s="72">
        <v>16686</v>
      </c>
      <c r="U19" s="73">
        <f>T19/S19</f>
        <v>0.99617910447761193</v>
      </c>
      <c r="V19" s="151">
        <f>T19</f>
        <v>16686</v>
      </c>
      <c r="W19" s="152">
        <v>3</v>
      </c>
      <c r="X19" s="163" t="s">
        <v>63</v>
      </c>
      <c r="Y19" s="3">
        <v>1</v>
      </c>
      <c r="Z19" s="25">
        <f>Y19/Y18</f>
        <v>6.25E-2</v>
      </c>
      <c r="AA19" s="3"/>
      <c r="AB19" s="3"/>
      <c r="AC19" s="3"/>
      <c r="AD19" s="3"/>
      <c r="AE19" s="3"/>
      <c r="AF19" s="3"/>
      <c r="AG19" s="3"/>
    </row>
    <row r="20" spans="1:33" ht="27.75" customHeight="1">
      <c r="A20" s="3"/>
      <c r="B20" s="7"/>
      <c r="C20" s="8" t="s">
        <v>35</v>
      </c>
      <c r="D20" s="76" t="s">
        <v>172</v>
      </c>
      <c r="E20" s="76" t="s">
        <v>77</v>
      </c>
      <c r="F20" s="76" t="s">
        <v>28</v>
      </c>
      <c r="G20" s="76" t="s">
        <v>32</v>
      </c>
      <c r="H20" s="77"/>
      <c r="I20" s="78" t="s">
        <v>29</v>
      </c>
      <c r="J20" s="78" t="s">
        <v>22</v>
      </c>
      <c r="K20" s="81">
        <v>1</v>
      </c>
      <c r="L20" s="91">
        <v>1</v>
      </c>
      <c r="M20" s="79"/>
      <c r="N20" s="92">
        <v>1</v>
      </c>
      <c r="O20" s="158">
        <f t="shared" si="0"/>
        <v>3</v>
      </c>
      <c r="P20" s="75" t="s">
        <v>157</v>
      </c>
      <c r="Q20" s="76" t="s">
        <v>147</v>
      </c>
      <c r="R20" s="114"/>
      <c r="S20" s="72"/>
      <c r="T20" s="72"/>
      <c r="U20" s="8"/>
      <c r="V20" s="151"/>
      <c r="W20" s="152">
        <v>3</v>
      </c>
      <c r="X20" s="163" t="s">
        <v>65</v>
      </c>
      <c r="Y20" s="3">
        <v>6</v>
      </c>
      <c r="Z20" s="25">
        <f>Y20/Y18</f>
        <v>0.375</v>
      </c>
      <c r="AA20" s="3"/>
      <c r="AB20" s="3"/>
      <c r="AC20" s="3"/>
      <c r="AD20" s="3"/>
      <c r="AE20" s="3"/>
      <c r="AF20" s="3"/>
      <c r="AG20" s="3"/>
    </row>
    <row r="21" spans="1:33" ht="27.75" customHeight="1">
      <c r="A21" s="3"/>
      <c r="B21" s="7"/>
      <c r="C21" s="8" t="s">
        <v>35</v>
      </c>
      <c r="D21" s="76" t="s">
        <v>173</v>
      </c>
      <c r="E21" s="76">
        <v>360</v>
      </c>
      <c r="F21" s="76" t="s">
        <v>28</v>
      </c>
      <c r="G21" s="76" t="s">
        <v>20</v>
      </c>
      <c r="H21" s="77"/>
      <c r="I21" s="78" t="s">
        <v>59</v>
      </c>
      <c r="J21" s="78" t="s">
        <v>45</v>
      </c>
      <c r="K21" s="81">
        <v>1</v>
      </c>
      <c r="L21" s="81">
        <v>1</v>
      </c>
      <c r="M21" s="82">
        <v>1</v>
      </c>
      <c r="N21" s="83">
        <v>1</v>
      </c>
      <c r="O21" s="158">
        <f t="shared" si="0"/>
        <v>4</v>
      </c>
      <c r="P21" s="75" t="s">
        <v>157</v>
      </c>
      <c r="Q21" s="76" t="s">
        <v>147</v>
      </c>
      <c r="R21" s="114" t="s">
        <v>174</v>
      </c>
      <c r="S21" s="72" t="s">
        <v>66</v>
      </c>
      <c r="T21" s="72"/>
      <c r="U21" s="8"/>
      <c r="V21" s="151"/>
      <c r="W21" s="158">
        <v>1</v>
      </c>
      <c r="X21" s="163" t="s">
        <v>70</v>
      </c>
      <c r="Y21" s="3">
        <v>9</v>
      </c>
      <c r="Z21" s="25">
        <f>Y21/Y18</f>
        <v>0.5625</v>
      </c>
      <c r="AA21" s="3"/>
      <c r="AB21" s="3"/>
      <c r="AC21" s="3"/>
      <c r="AD21" s="3"/>
      <c r="AE21" s="3"/>
      <c r="AF21" s="3"/>
      <c r="AG21" s="3"/>
    </row>
    <row r="22" spans="1:33" ht="27.75" customHeight="1">
      <c r="A22" s="14" t="s">
        <v>66</v>
      </c>
      <c r="B22" s="7"/>
      <c r="C22" s="8" t="s">
        <v>35</v>
      </c>
      <c r="D22" s="76" t="s">
        <v>175</v>
      </c>
      <c r="E22" s="76" t="s">
        <v>32</v>
      </c>
      <c r="F22" s="76" t="s">
        <v>19</v>
      </c>
      <c r="G22" s="76" t="s">
        <v>25</v>
      </c>
      <c r="H22" s="77">
        <v>26650</v>
      </c>
      <c r="I22" s="78" t="s">
        <v>59</v>
      </c>
      <c r="J22" s="78" t="s">
        <v>45</v>
      </c>
      <c r="K22" s="108">
        <v>1</v>
      </c>
      <c r="L22" s="81">
        <v>1</v>
      </c>
      <c r="M22" s="99">
        <v>1</v>
      </c>
      <c r="N22" s="83">
        <v>1</v>
      </c>
      <c r="O22" s="158">
        <f t="shared" si="0"/>
        <v>4</v>
      </c>
      <c r="P22" s="75"/>
      <c r="Q22" s="76" t="s">
        <v>147</v>
      </c>
      <c r="R22" s="115"/>
      <c r="S22" s="72">
        <f>H22</f>
        <v>26650</v>
      </c>
      <c r="T22" s="72"/>
      <c r="U22" s="8"/>
      <c r="V22" s="151">
        <f>S22/6*12</f>
        <v>53300</v>
      </c>
      <c r="W22" s="152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3"/>
    </row>
    <row r="23" spans="1:33" ht="27.75" customHeight="1">
      <c r="A23" s="3"/>
      <c r="B23" s="7"/>
      <c r="C23" s="8" t="s">
        <v>35</v>
      </c>
      <c r="D23" s="76" t="s">
        <v>176</v>
      </c>
      <c r="E23" s="76" t="s">
        <v>124</v>
      </c>
      <c r="F23" s="76" t="s">
        <v>28</v>
      </c>
      <c r="G23" s="76" t="s">
        <v>25</v>
      </c>
      <c r="H23" s="77"/>
      <c r="I23" s="78" t="s">
        <v>29</v>
      </c>
      <c r="J23" s="78" t="s">
        <v>22</v>
      </c>
      <c r="K23" s="79"/>
      <c r="L23" s="79"/>
      <c r="M23" s="85"/>
      <c r="N23" s="80"/>
      <c r="O23" s="84">
        <f t="shared" ref="O23:O78" si="1">SUM(K23:N23)</f>
        <v>0</v>
      </c>
      <c r="P23" s="75"/>
      <c r="Q23" s="76" t="s">
        <v>125</v>
      </c>
      <c r="R23" s="114" t="s">
        <v>177</v>
      </c>
      <c r="S23" s="72"/>
      <c r="T23" s="72"/>
      <c r="U23" s="8"/>
      <c r="V23" s="61"/>
      <c r="W23" s="150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27.75" customHeight="1">
      <c r="A24" s="3"/>
      <c r="B24" s="7"/>
      <c r="C24" s="8" t="s">
        <v>24</v>
      </c>
      <c r="D24" s="76" t="s">
        <v>178</v>
      </c>
      <c r="E24" s="76" t="s">
        <v>124</v>
      </c>
      <c r="F24" s="76" t="s">
        <v>28</v>
      </c>
      <c r="G24" s="76" t="s">
        <v>25</v>
      </c>
      <c r="H24" s="77"/>
      <c r="I24" s="78" t="s">
        <v>29</v>
      </c>
      <c r="J24" s="78" t="s">
        <v>22</v>
      </c>
      <c r="K24" s="79"/>
      <c r="L24" s="100"/>
      <c r="M24" s="79"/>
      <c r="N24" s="94"/>
      <c r="O24" s="84">
        <f t="shared" si="1"/>
        <v>0</v>
      </c>
      <c r="P24" s="75"/>
      <c r="Q24" s="76" t="s">
        <v>125</v>
      </c>
      <c r="R24" s="114" t="s">
        <v>177</v>
      </c>
      <c r="S24" s="72"/>
      <c r="T24" s="72"/>
      <c r="U24" s="8"/>
      <c r="V24" s="61"/>
      <c r="W24" s="150"/>
      <c r="X24" s="3"/>
      <c r="Y24" s="3"/>
      <c r="Z24" s="3"/>
      <c r="AA24" s="3"/>
      <c r="AB24" s="3"/>
      <c r="AC24" s="3"/>
      <c r="AD24" s="3"/>
      <c r="AE24" s="3"/>
      <c r="AF24" s="3"/>
      <c r="AG24" s="3"/>
    </row>
    <row r="25" spans="1:33" ht="27.75" customHeight="1">
      <c r="A25" s="3"/>
      <c r="B25" s="7"/>
      <c r="C25" s="8" t="s">
        <v>30</v>
      </c>
      <c r="D25" s="76" t="s">
        <v>179</v>
      </c>
      <c r="E25" s="76" t="s">
        <v>180</v>
      </c>
      <c r="F25" s="76" t="s">
        <v>19</v>
      </c>
      <c r="G25" s="76" t="s">
        <v>25</v>
      </c>
      <c r="H25" s="77">
        <v>63067</v>
      </c>
      <c r="I25" s="90" t="s">
        <v>181</v>
      </c>
      <c r="J25" s="90" t="s">
        <v>82</v>
      </c>
      <c r="K25" s="93"/>
      <c r="L25" s="103"/>
      <c r="M25" s="79"/>
      <c r="N25" s="94"/>
      <c r="O25" s="84">
        <f t="shared" si="1"/>
        <v>0</v>
      </c>
      <c r="P25" s="75"/>
      <c r="Q25" s="110" t="s">
        <v>125</v>
      </c>
      <c r="R25" s="115" t="s">
        <v>182</v>
      </c>
      <c r="S25" s="72" t="s">
        <v>66</v>
      </c>
      <c r="T25" s="72"/>
      <c r="U25" s="8"/>
      <c r="V25" s="61"/>
      <c r="W25" s="150"/>
      <c r="X25" s="3"/>
      <c r="Y25" s="3"/>
      <c r="Z25" s="3"/>
      <c r="AA25" s="3"/>
      <c r="AB25" s="3"/>
      <c r="AC25" s="3"/>
      <c r="AD25" s="3"/>
      <c r="AE25" s="3"/>
      <c r="AF25" s="3"/>
      <c r="AG25" s="3"/>
    </row>
    <row r="26" spans="1:33" ht="27.75" customHeight="1">
      <c r="A26" s="3"/>
      <c r="B26" s="7"/>
      <c r="C26" s="8" t="s">
        <v>30</v>
      </c>
      <c r="D26" s="76" t="s">
        <v>183</v>
      </c>
      <c r="E26" s="76">
        <v>360</v>
      </c>
      <c r="F26" s="76" t="s">
        <v>19</v>
      </c>
      <c r="G26" s="76" t="s">
        <v>20</v>
      </c>
      <c r="H26" s="77"/>
      <c r="I26" s="78" t="s">
        <v>29</v>
      </c>
      <c r="J26" s="78" t="s">
        <v>22</v>
      </c>
      <c r="K26" s="79"/>
      <c r="L26" s="81">
        <v>1</v>
      </c>
      <c r="M26" s="79"/>
      <c r="N26" s="94"/>
      <c r="O26" s="84">
        <f t="shared" si="1"/>
        <v>1</v>
      </c>
      <c r="P26" s="75"/>
      <c r="Q26" s="76" t="s">
        <v>125</v>
      </c>
      <c r="R26" s="114" t="s">
        <v>184</v>
      </c>
      <c r="S26" s="72"/>
      <c r="T26" s="72"/>
      <c r="U26" s="8"/>
      <c r="V26" s="61"/>
      <c r="W26" s="150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spans="1:33" ht="27.75" customHeight="1">
      <c r="A27" s="3"/>
      <c r="B27" s="7"/>
      <c r="C27" s="8" t="s">
        <v>30</v>
      </c>
      <c r="D27" s="76" t="s">
        <v>185</v>
      </c>
      <c r="E27" s="76" t="s">
        <v>124</v>
      </c>
      <c r="F27" s="76" t="s">
        <v>28</v>
      </c>
      <c r="G27" s="76" t="s">
        <v>25</v>
      </c>
      <c r="H27" s="77">
        <v>103235</v>
      </c>
      <c r="I27" s="78" t="s">
        <v>29</v>
      </c>
      <c r="J27" s="78" t="s">
        <v>22</v>
      </c>
      <c r="K27" s="79"/>
      <c r="L27" s="102"/>
      <c r="M27" s="104">
        <v>1</v>
      </c>
      <c r="N27" s="94"/>
      <c r="O27" s="84">
        <f t="shared" si="1"/>
        <v>1</v>
      </c>
      <c r="P27" s="75"/>
      <c r="Q27" s="76" t="s">
        <v>125</v>
      </c>
      <c r="R27" s="114" t="s">
        <v>177</v>
      </c>
      <c r="S27" s="72"/>
      <c r="T27" s="72"/>
      <c r="U27" s="8"/>
      <c r="V27" s="61"/>
      <c r="W27" s="150"/>
      <c r="X27" s="3"/>
      <c r="Y27" s="3"/>
      <c r="Z27" s="3"/>
      <c r="AA27" s="3"/>
      <c r="AB27" s="3"/>
      <c r="AC27" s="3"/>
      <c r="AD27" s="3"/>
      <c r="AE27" s="3"/>
      <c r="AF27" s="3"/>
      <c r="AG27" s="3"/>
    </row>
    <row r="28" spans="1:33" ht="27.75" customHeight="1">
      <c r="A28" s="3"/>
      <c r="B28" s="7"/>
      <c r="C28" s="8" t="s">
        <v>35</v>
      </c>
      <c r="D28" s="76" t="s">
        <v>186</v>
      </c>
      <c r="E28" s="76" t="s">
        <v>124</v>
      </c>
      <c r="F28" s="76" t="s">
        <v>28</v>
      </c>
      <c r="G28" s="76" t="s">
        <v>25</v>
      </c>
      <c r="H28" s="77">
        <v>110790</v>
      </c>
      <c r="I28" s="78" t="s">
        <v>29</v>
      </c>
      <c r="J28" s="78" t="s">
        <v>22</v>
      </c>
      <c r="K28" s="79"/>
      <c r="L28" s="79"/>
      <c r="M28" s="105">
        <v>1</v>
      </c>
      <c r="N28" s="80"/>
      <c r="O28" s="84">
        <f t="shared" si="1"/>
        <v>1</v>
      </c>
      <c r="P28" s="75"/>
      <c r="Q28" s="76" t="s">
        <v>125</v>
      </c>
      <c r="R28" s="114" t="s">
        <v>177</v>
      </c>
      <c r="S28" s="72"/>
      <c r="T28" s="72"/>
      <c r="U28" s="8"/>
      <c r="V28" s="61"/>
      <c r="W28" s="150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 spans="1:33" ht="27.75" customHeight="1">
      <c r="A29" s="3"/>
      <c r="B29" s="7"/>
      <c r="C29" s="8" t="s">
        <v>35</v>
      </c>
      <c r="D29" s="76" t="s">
        <v>187</v>
      </c>
      <c r="E29" s="76" t="s">
        <v>165</v>
      </c>
      <c r="F29" s="76" t="s">
        <v>19</v>
      </c>
      <c r="G29" s="76" t="s">
        <v>25</v>
      </c>
      <c r="H29" s="77"/>
      <c r="I29" s="78" t="s">
        <v>29</v>
      </c>
      <c r="J29" s="78" t="s">
        <v>22</v>
      </c>
      <c r="K29" s="79"/>
      <c r="L29" s="82">
        <v>1</v>
      </c>
      <c r="M29" s="79"/>
      <c r="N29" s="94"/>
      <c r="O29" s="84">
        <f t="shared" si="1"/>
        <v>1</v>
      </c>
      <c r="P29" s="75"/>
      <c r="Q29" s="76" t="s">
        <v>125</v>
      </c>
      <c r="R29" s="114" t="s">
        <v>188</v>
      </c>
      <c r="S29" s="72"/>
      <c r="T29" s="72"/>
      <c r="U29" s="8"/>
      <c r="V29" s="61"/>
      <c r="W29" s="150"/>
      <c r="X29" s="3"/>
      <c r="Y29" s="3"/>
      <c r="Z29" s="3"/>
      <c r="AA29" s="3"/>
      <c r="AB29" s="3">
        <v>61</v>
      </c>
      <c r="AC29" s="3" t="s">
        <v>50</v>
      </c>
      <c r="AD29" s="3"/>
      <c r="AE29" s="3"/>
      <c r="AF29" s="3"/>
      <c r="AG29" s="3"/>
    </row>
    <row r="30" spans="1:33" ht="27.75" customHeight="1">
      <c r="A30" s="3"/>
      <c r="B30" s="7"/>
      <c r="C30" s="8" t="s">
        <v>38</v>
      </c>
      <c r="D30" s="76" t="s">
        <v>189</v>
      </c>
      <c r="E30" s="76">
        <v>360</v>
      </c>
      <c r="F30" s="76" t="s">
        <v>19</v>
      </c>
      <c r="G30" s="76" t="s">
        <v>32</v>
      </c>
      <c r="H30" s="77"/>
      <c r="I30" s="78" t="s">
        <v>48</v>
      </c>
      <c r="J30" s="78" t="s">
        <v>45</v>
      </c>
      <c r="K30" s="87"/>
      <c r="L30" s="103"/>
      <c r="M30" s="104">
        <v>1</v>
      </c>
      <c r="N30" s="94"/>
      <c r="O30" s="84">
        <f t="shared" si="1"/>
        <v>1</v>
      </c>
      <c r="P30" s="75"/>
      <c r="Q30" s="76" t="s">
        <v>125</v>
      </c>
      <c r="R30" s="115" t="s">
        <v>177</v>
      </c>
      <c r="S30" s="72"/>
      <c r="T30" s="72"/>
      <c r="U30" s="8"/>
      <c r="V30" s="61"/>
      <c r="W30" s="150"/>
      <c r="X30" s="3"/>
      <c r="Y30" s="3"/>
      <c r="Z30" s="3"/>
      <c r="AA30" s="3"/>
      <c r="AB30" s="3">
        <f>26/AB29</f>
        <v>0.42622950819672129</v>
      </c>
      <c r="AC30" s="3" t="s">
        <v>190</v>
      </c>
      <c r="AD30" s="3"/>
      <c r="AE30" s="3"/>
      <c r="AF30" s="3"/>
      <c r="AG30" s="3"/>
    </row>
    <row r="31" spans="1:33" ht="27.75" customHeight="1">
      <c r="A31" s="3"/>
      <c r="B31" s="7"/>
      <c r="C31" s="8" t="s">
        <v>38</v>
      </c>
      <c r="D31" s="76" t="s">
        <v>191</v>
      </c>
      <c r="E31" s="97" t="s">
        <v>124</v>
      </c>
      <c r="F31" s="76" t="s">
        <v>19</v>
      </c>
      <c r="G31" s="76" t="s">
        <v>25</v>
      </c>
      <c r="H31" s="77"/>
      <c r="I31" s="78" t="s">
        <v>44</v>
      </c>
      <c r="J31" s="78" t="s">
        <v>45</v>
      </c>
      <c r="K31" s="103"/>
      <c r="L31" s="166"/>
      <c r="M31" s="166"/>
      <c r="N31" s="170">
        <v>1</v>
      </c>
      <c r="O31" s="84">
        <f t="shared" si="1"/>
        <v>1</v>
      </c>
      <c r="P31" s="75" t="s">
        <v>192</v>
      </c>
      <c r="Q31" s="76" t="s">
        <v>125</v>
      </c>
      <c r="R31" s="115" t="s">
        <v>177</v>
      </c>
      <c r="S31" s="72"/>
      <c r="T31" s="72"/>
      <c r="U31" s="8"/>
      <c r="V31" s="61"/>
      <c r="W31" s="8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 spans="1:33" ht="27.75" customHeight="1">
      <c r="A32" s="3"/>
      <c r="B32" s="7"/>
      <c r="C32" s="8" t="s">
        <v>38</v>
      </c>
      <c r="D32" s="76" t="s">
        <v>193</v>
      </c>
      <c r="E32" s="76" t="s">
        <v>27</v>
      </c>
      <c r="F32" s="76" t="s">
        <v>19</v>
      </c>
      <c r="G32" s="76" t="s">
        <v>25</v>
      </c>
      <c r="H32" s="77"/>
      <c r="I32" s="78" t="s">
        <v>44</v>
      </c>
      <c r="J32" s="164" t="s">
        <v>45</v>
      </c>
      <c r="K32" s="79"/>
      <c r="L32" s="81">
        <v>1</v>
      </c>
      <c r="M32" s="79"/>
      <c r="N32" s="80"/>
      <c r="O32" s="84">
        <f t="shared" si="1"/>
        <v>1</v>
      </c>
      <c r="P32" s="75"/>
      <c r="Q32" s="76" t="s">
        <v>125</v>
      </c>
      <c r="R32" s="114" t="s">
        <v>177</v>
      </c>
      <c r="S32" s="72"/>
      <c r="T32" s="72"/>
      <c r="U32" s="8"/>
      <c r="V32" s="61"/>
      <c r="W32" s="8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spans="1:33" ht="27.75" customHeight="1">
      <c r="A33" s="3"/>
      <c r="B33" s="7"/>
      <c r="C33" s="8" t="s">
        <v>38</v>
      </c>
      <c r="D33" s="76" t="s">
        <v>194</v>
      </c>
      <c r="E33" s="76" t="s">
        <v>195</v>
      </c>
      <c r="F33" s="76" t="s">
        <v>19</v>
      </c>
      <c r="G33" s="76" t="s">
        <v>25</v>
      </c>
      <c r="H33" s="77"/>
      <c r="I33" s="78" t="s">
        <v>59</v>
      </c>
      <c r="J33" s="78" t="s">
        <v>45</v>
      </c>
      <c r="K33" s="176"/>
      <c r="L33" s="177">
        <v>1</v>
      </c>
      <c r="M33" s="176"/>
      <c r="N33" s="178"/>
      <c r="O33" s="84">
        <f t="shared" si="1"/>
        <v>1</v>
      </c>
      <c r="P33" s="75"/>
      <c r="Q33" s="76" t="s">
        <v>125</v>
      </c>
      <c r="R33" s="114" t="s">
        <v>196</v>
      </c>
      <c r="S33" s="72"/>
      <c r="T33" s="72"/>
      <c r="U33" s="8"/>
      <c r="V33" s="61"/>
      <c r="W33" s="8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spans="1:33" ht="27.75" customHeight="1">
      <c r="A34" s="3"/>
      <c r="B34" s="7"/>
      <c r="C34" s="8" t="s">
        <v>30</v>
      </c>
      <c r="D34" s="76" t="s">
        <v>197</v>
      </c>
      <c r="E34" s="76" t="s">
        <v>27</v>
      </c>
      <c r="F34" s="76" t="s">
        <v>19</v>
      </c>
      <c r="G34" s="76" t="s">
        <v>25</v>
      </c>
      <c r="H34" s="77"/>
      <c r="I34" s="78" t="s">
        <v>48</v>
      </c>
      <c r="J34" s="164" t="s">
        <v>45</v>
      </c>
      <c r="K34" s="79"/>
      <c r="L34" s="81">
        <v>1</v>
      </c>
      <c r="M34" s="79"/>
      <c r="N34" s="80"/>
      <c r="O34" s="84">
        <f t="shared" si="1"/>
        <v>1</v>
      </c>
      <c r="P34" s="75"/>
      <c r="Q34" s="76" t="s">
        <v>125</v>
      </c>
      <c r="R34" s="114" t="s">
        <v>198</v>
      </c>
      <c r="S34" s="72"/>
      <c r="T34" s="72"/>
      <c r="U34" s="8"/>
      <c r="V34" s="61"/>
      <c r="W34" s="8"/>
      <c r="X34" s="3"/>
      <c r="Y34" s="3"/>
      <c r="Z34" s="3"/>
      <c r="AA34" s="3"/>
      <c r="AB34" s="3"/>
      <c r="AC34" s="3"/>
      <c r="AD34" s="3"/>
      <c r="AE34" s="3"/>
      <c r="AF34" s="3"/>
      <c r="AG34" s="3"/>
    </row>
    <row r="35" spans="1:33" ht="27.75" customHeight="1">
      <c r="A35" s="3"/>
      <c r="B35" s="7"/>
      <c r="C35" s="8" t="s">
        <v>35</v>
      </c>
      <c r="D35" s="76" t="s">
        <v>199</v>
      </c>
      <c r="E35" s="76" t="s">
        <v>200</v>
      </c>
      <c r="F35" s="76" t="s">
        <v>19</v>
      </c>
      <c r="G35" s="76" t="s">
        <v>25</v>
      </c>
      <c r="H35" s="77"/>
      <c r="I35" s="78" t="s">
        <v>73</v>
      </c>
      <c r="J35" s="78" t="s">
        <v>69</v>
      </c>
      <c r="K35" s="173"/>
      <c r="L35" s="174">
        <v>1</v>
      </c>
      <c r="M35" s="102"/>
      <c r="N35" s="175"/>
      <c r="O35" s="84">
        <f t="shared" si="1"/>
        <v>1</v>
      </c>
      <c r="P35" s="75"/>
      <c r="Q35" s="76" t="s">
        <v>125</v>
      </c>
      <c r="R35" s="114" t="s">
        <v>201</v>
      </c>
      <c r="S35" s="72" t="s">
        <v>66</v>
      </c>
      <c r="T35" s="72"/>
      <c r="U35" s="8"/>
      <c r="V35" s="61"/>
      <c r="W35" s="8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ht="27.75" customHeight="1">
      <c r="A36" s="3"/>
      <c r="B36" s="7"/>
      <c r="C36" s="8" t="s">
        <v>38</v>
      </c>
      <c r="D36" s="76" t="s">
        <v>202</v>
      </c>
      <c r="E36" s="76" t="s">
        <v>165</v>
      </c>
      <c r="F36" s="76" t="s">
        <v>19</v>
      </c>
      <c r="G36" s="76" t="s">
        <v>25</v>
      </c>
      <c r="H36" s="77"/>
      <c r="I36" s="78" t="s">
        <v>68</v>
      </c>
      <c r="J36" s="78" t="s">
        <v>69</v>
      </c>
      <c r="K36" s="166"/>
      <c r="L36" s="166"/>
      <c r="M36" s="167">
        <v>1</v>
      </c>
      <c r="N36" s="171"/>
      <c r="O36" s="84">
        <f t="shared" si="1"/>
        <v>1</v>
      </c>
      <c r="P36" s="75"/>
      <c r="Q36" s="76" t="s">
        <v>125</v>
      </c>
      <c r="R36" s="114" t="s">
        <v>203</v>
      </c>
      <c r="S36" s="72"/>
      <c r="T36" s="72"/>
      <c r="U36" s="8"/>
      <c r="V36" s="8"/>
      <c r="W36" s="8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spans="1:33" ht="27.75" customHeight="1">
      <c r="A37" s="3"/>
      <c r="B37" s="7"/>
      <c r="C37" s="8" t="s">
        <v>35</v>
      </c>
      <c r="D37" s="76" t="s">
        <v>204</v>
      </c>
      <c r="E37" s="76" t="s">
        <v>27</v>
      </c>
      <c r="F37" s="76" t="s">
        <v>19</v>
      </c>
      <c r="G37" s="76" t="s">
        <v>25</v>
      </c>
      <c r="H37" s="77"/>
      <c r="I37" s="78" t="s">
        <v>68</v>
      </c>
      <c r="J37" s="164" t="s">
        <v>69</v>
      </c>
      <c r="K37" s="79"/>
      <c r="L37" s="79"/>
      <c r="M37" s="81">
        <v>1</v>
      </c>
      <c r="N37" s="80"/>
      <c r="O37" s="84">
        <f t="shared" si="1"/>
        <v>1</v>
      </c>
      <c r="P37" s="75"/>
      <c r="Q37" s="76" t="s">
        <v>125</v>
      </c>
      <c r="R37" s="115" t="s">
        <v>205</v>
      </c>
      <c r="S37" s="72" t="s">
        <v>66</v>
      </c>
      <c r="T37" s="72"/>
      <c r="U37" s="8"/>
      <c r="V37" s="8"/>
      <c r="W37" s="8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 spans="1:33" ht="27.75" customHeight="1">
      <c r="A38" s="3"/>
      <c r="B38" s="7"/>
      <c r="C38" s="8" t="s">
        <v>30</v>
      </c>
      <c r="D38" s="76" t="s">
        <v>206</v>
      </c>
      <c r="E38" s="97" t="s">
        <v>165</v>
      </c>
      <c r="F38" s="76" t="s">
        <v>19</v>
      </c>
      <c r="G38" s="76" t="s">
        <v>25</v>
      </c>
      <c r="H38" s="77"/>
      <c r="I38" s="78" t="s">
        <v>81</v>
      </c>
      <c r="J38" s="78" t="s">
        <v>82</v>
      </c>
      <c r="K38" s="173"/>
      <c r="L38" s="174">
        <v>1</v>
      </c>
      <c r="M38" s="100"/>
      <c r="N38" s="175"/>
      <c r="O38" s="84">
        <f t="shared" si="1"/>
        <v>1</v>
      </c>
      <c r="P38" s="75"/>
      <c r="Q38" s="76" t="s">
        <v>125</v>
      </c>
      <c r="R38" s="114" t="s">
        <v>207</v>
      </c>
      <c r="S38" s="72"/>
      <c r="T38" s="72"/>
      <c r="U38" s="8"/>
      <c r="V38" s="8"/>
      <c r="W38" s="8"/>
      <c r="X38" s="3"/>
      <c r="Y38" s="3"/>
      <c r="Z38" s="3"/>
      <c r="AA38" s="3"/>
      <c r="AB38" s="3"/>
      <c r="AC38" s="3"/>
      <c r="AD38" s="3"/>
      <c r="AE38" s="3"/>
      <c r="AF38" s="3"/>
      <c r="AG38" s="3"/>
    </row>
    <row r="39" spans="1:33" ht="27.75" customHeight="1">
      <c r="A39" s="3"/>
      <c r="B39" s="7"/>
      <c r="C39" s="8" t="s">
        <v>30</v>
      </c>
      <c r="D39" s="76" t="s">
        <v>208</v>
      </c>
      <c r="E39" s="76" t="s">
        <v>209</v>
      </c>
      <c r="F39" s="76" t="s">
        <v>19</v>
      </c>
      <c r="G39" s="76" t="s">
        <v>25</v>
      </c>
      <c r="H39" s="77"/>
      <c r="I39" s="78" t="s">
        <v>81</v>
      </c>
      <c r="J39" s="78" t="s">
        <v>82</v>
      </c>
      <c r="K39" s="81">
        <v>1</v>
      </c>
      <c r="L39" s="79"/>
      <c r="M39" s="106"/>
      <c r="N39" s="80"/>
      <c r="O39" s="84">
        <f t="shared" si="1"/>
        <v>1</v>
      </c>
      <c r="P39" s="75"/>
      <c r="Q39" s="76" t="s">
        <v>125</v>
      </c>
      <c r="R39" s="114"/>
      <c r="S39" s="72" t="s">
        <v>66</v>
      </c>
      <c r="T39" s="72"/>
      <c r="U39" s="8"/>
      <c r="V39" s="8"/>
      <c r="W39" s="8"/>
      <c r="X39" s="3"/>
      <c r="Y39" s="3"/>
      <c r="Z39" s="3"/>
      <c r="AA39" s="3"/>
      <c r="AB39" s="3"/>
      <c r="AC39" s="3"/>
      <c r="AD39" s="3"/>
      <c r="AE39" s="3"/>
      <c r="AF39" s="3"/>
      <c r="AG39" s="3"/>
    </row>
    <row r="40" spans="1:33" ht="27.75" customHeight="1">
      <c r="A40" s="3"/>
      <c r="B40" s="7"/>
      <c r="C40" s="8" t="s">
        <v>35</v>
      </c>
      <c r="D40" s="76" t="s">
        <v>210</v>
      </c>
      <c r="E40" s="76" t="s">
        <v>124</v>
      </c>
      <c r="F40" s="76" t="s">
        <v>19</v>
      </c>
      <c r="G40" s="76" t="s">
        <v>25</v>
      </c>
      <c r="H40" s="77">
        <v>11370</v>
      </c>
      <c r="I40" s="78" t="s">
        <v>75</v>
      </c>
      <c r="J40" s="78" t="s">
        <v>69</v>
      </c>
      <c r="K40" s="79"/>
      <c r="L40" s="102"/>
      <c r="M40" s="81">
        <v>1</v>
      </c>
      <c r="N40" s="155"/>
      <c r="O40" s="84">
        <f t="shared" si="1"/>
        <v>1</v>
      </c>
      <c r="P40" s="75"/>
      <c r="Q40" s="76" t="s">
        <v>125</v>
      </c>
      <c r="R40" s="114" t="s">
        <v>211</v>
      </c>
      <c r="S40" s="72" t="s">
        <v>66</v>
      </c>
      <c r="T40" s="72"/>
      <c r="U40" s="8"/>
      <c r="V40" s="8"/>
      <c r="W40" s="8"/>
      <c r="X40" s="3"/>
      <c r="Y40" s="3"/>
      <c r="Z40" s="3"/>
      <c r="AA40" s="3"/>
      <c r="AB40" s="3">
        <f>12/AB29</f>
        <v>0.19672131147540983</v>
      </c>
      <c r="AC40" s="3" t="s">
        <v>212</v>
      </c>
      <c r="AD40" s="3"/>
      <c r="AE40" s="3"/>
      <c r="AF40" s="3"/>
      <c r="AG40" s="3"/>
    </row>
    <row r="41" spans="1:33" ht="27.75" customHeight="1">
      <c r="A41" s="3"/>
      <c r="B41" s="7"/>
      <c r="C41" s="8" t="s">
        <v>30</v>
      </c>
      <c r="D41" s="76" t="s">
        <v>213</v>
      </c>
      <c r="E41" s="76" t="s">
        <v>165</v>
      </c>
      <c r="F41" s="76" t="s">
        <v>19</v>
      </c>
      <c r="G41" s="76" t="s">
        <v>20</v>
      </c>
      <c r="H41" s="77"/>
      <c r="I41" s="78" t="s">
        <v>21</v>
      </c>
      <c r="J41" s="78" t="s">
        <v>22</v>
      </c>
      <c r="K41" s="166"/>
      <c r="L41" s="166"/>
      <c r="M41" s="167">
        <v>1</v>
      </c>
      <c r="N41" s="170">
        <v>1</v>
      </c>
      <c r="O41" s="129">
        <f t="shared" ref="O41:O56" si="2">SUM(K41:N41)</f>
        <v>2</v>
      </c>
      <c r="P41" s="75" t="s">
        <v>214</v>
      </c>
      <c r="Q41" s="76" t="s">
        <v>125</v>
      </c>
      <c r="R41" s="114" t="s">
        <v>215</v>
      </c>
      <c r="S41" s="72"/>
      <c r="T41" s="72"/>
      <c r="U41" s="8"/>
      <c r="V41" s="8"/>
      <c r="W41" s="8"/>
      <c r="X41" s="3"/>
      <c r="Y41" s="3"/>
      <c r="Z41" s="3"/>
      <c r="AA41" s="3"/>
      <c r="AB41" s="3">
        <f>23/AB29</f>
        <v>0.37704918032786883</v>
      </c>
      <c r="AC41" s="3" t="s">
        <v>216</v>
      </c>
      <c r="AD41" s="3"/>
      <c r="AE41" s="3"/>
      <c r="AF41" s="3"/>
      <c r="AG41" s="3"/>
    </row>
    <row r="42" spans="1:33" ht="27.75" customHeight="1">
      <c r="A42" s="3"/>
      <c r="B42" s="7"/>
      <c r="C42" s="8" t="s">
        <v>30</v>
      </c>
      <c r="D42" s="76" t="s">
        <v>217</v>
      </c>
      <c r="E42" s="76" t="s">
        <v>27</v>
      </c>
      <c r="F42" s="76" t="s">
        <v>19</v>
      </c>
      <c r="G42" s="76" t="s">
        <v>20</v>
      </c>
      <c r="H42" s="77"/>
      <c r="I42" s="78" t="s">
        <v>21</v>
      </c>
      <c r="J42" s="164" t="s">
        <v>22</v>
      </c>
      <c r="K42" s="79"/>
      <c r="L42" s="79"/>
      <c r="M42" s="81">
        <v>1</v>
      </c>
      <c r="N42" s="83">
        <v>1</v>
      </c>
      <c r="O42" s="129">
        <f t="shared" si="2"/>
        <v>2</v>
      </c>
      <c r="P42" s="75"/>
      <c r="Q42" s="76" t="s">
        <v>125</v>
      </c>
      <c r="R42" s="114" t="s">
        <v>218</v>
      </c>
      <c r="S42" s="72"/>
      <c r="T42" s="72"/>
      <c r="U42" s="8"/>
      <c r="V42" s="8"/>
      <c r="W42" s="8"/>
      <c r="X42" s="3"/>
      <c r="Y42" s="3"/>
      <c r="Z42" s="3"/>
      <c r="AA42" s="3"/>
      <c r="AB42" s="3"/>
      <c r="AC42" s="3"/>
      <c r="AD42" s="3"/>
      <c r="AE42" s="3"/>
      <c r="AF42" s="3"/>
      <c r="AG42" s="3"/>
    </row>
    <row r="43" spans="1:33" ht="27.75" customHeight="1">
      <c r="A43" s="3"/>
      <c r="B43" s="7"/>
      <c r="C43" s="8" t="s">
        <v>30</v>
      </c>
      <c r="D43" s="76" t="s">
        <v>219</v>
      </c>
      <c r="E43" s="76" t="s">
        <v>220</v>
      </c>
      <c r="F43" s="76" t="s">
        <v>19</v>
      </c>
      <c r="G43" s="76" t="s">
        <v>25</v>
      </c>
      <c r="H43" s="77">
        <v>4988</v>
      </c>
      <c r="I43" s="78" t="s">
        <v>21</v>
      </c>
      <c r="J43" s="78" t="s">
        <v>22</v>
      </c>
      <c r="K43" s="174">
        <v>1</v>
      </c>
      <c r="L43" s="119"/>
      <c r="M43" s="98"/>
      <c r="N43" s="179">
        <v>1</v>
      </c>
      <c r="O43" s="129">
        <f t="shared" si="2"/>
        <v>2</v>
      </c>
      <c r="P43" s="75" t="s">
        <v>221</v>
      </c>
      <c r="Q43" s="76" t="s">
        <v>125</v>
      </c>
      <c r="R43" s="114" t="s">
        <v>222</v>
      </c>
      <c r="S43" s="72" t="s">
        <v>66</v>
      </c>
      <c r="T43" s="72"/>
      <c r="U43" s="8"/>
      <c r="V43" s="8"/>
      <c r="W43" s="8"/>
      <c r="X43" s="3"/>
      <c r="Y43" s="3"/>
      <c r="Z43" s="3"/>
      <c r="AA43" s="3"/>
      <c r="AB43" s="3"/>
      <c r="AC43" s="3"/>
      <c r="AD43" s="3"/>
      <c r="AE43" s="3"/>
      <c r="AF43" s="3"/>
      <c r="AG43" s="3"/>
    </row>
    <row r="44" spans="1:33" ht="27.75" customHeight="1">
      <c r="A44" s="3"/>
      <c r="B44" s="7"/>
      <c r="C44" s="8" t="s">
        <v>35</v>
      </c>
      <c r="D44" s="76" t="s">
        <v>223</v>
      </c>
      <c r="E44" s="76" t="s">
        <v>165</v>
      </c>
      <c r="F44" s="76" t="s">
        <v>19</v>
      </c>
      <c r="G44" s="76" t="s">
        <v>25</v>
      </c>
      <c r="H44" s="77"/>
      <c r="I44" s="78" t="s">
        <v>21</v>
      </c>
      <c r="J44" s="78" t="s">
        <v>22</v>
      </c>
      <c r="K44" s="79"/>
      <c r="L44" s="91">
        <v>1</v>
      </c>
      <c r="M44" s="81">
        <v>1</v>
      </c>
      <c r="N44" s="94"/>
      <c r="O44" s="158">
        <f t="shared" si="2"/>
        <v>2</v>
      </c>
      <c r="P44" s="75"/>
      <c r="Q44" s="76" t="s">
        <v>125</v>
      </c>
      <c r="R44" s="114" t="s">
        <v>188</v>
      </c>
      <c r="S44" s="72" t="s">
        <v>66</v>
      </c>
      <c r="T44" s="72"/>
      <c r="U44" s="8"/>
      <c r="V44" s="8"/>
      <c r="W44" s="8"/>
      <c r="X44" s="3"/>
      <c r="Y44" s="3"/>
      <c r="Z44" s="3"/>
      <c r="AA44" s="3"/>
      <c r="AB44" s="3"/>
      <c r="AC44" s="3"/>
      <c r="AD44" s="3"/>
      <c r="AE44" s="3"/>
      <c r="AF44" s="3"/>
      <c r="AG44" s="3"/>
    </row>
    <row r="45" spans="1:33" ht="27.75" customHeight="1">
      <c r="A45" s="3"/>
      <c r="B45" s="7"/>
      <c r="C45" s="8" t="s">
        <v>38</v>
      </c>
      <c r="D45" s="76" t="s">
        <v>224</v>
      </c>
      <c r="E45" s="76" t="s">
        <v>165</v>
      </c>
      <c r="F45" s="76" t="s">
        <v>19</v>
      </c>
      <c r="G45" s="76" t="s">
        <v>25</v>
      </c>
      <c r="H45" s="77"/>
      <c r="I45" s="78" t="s">
        <v>21</v>
      </c>
      <c r="J45" s="78" t="s">
        <v>22</v>
      </c>
      <c r="K45" s="79"/>
      <c r="L45" s="81">
        <v>1</v>
      </c>
      <c r="M45" s="82">
        <v>1</v>
      </c>
      <c r="N45" s="80"/>
      <c r="O45" s="158">
        <f t="shared" si="2"/>
        <v>2</v>
      </c>
      <c r="P45" s="75"/>
      <c r="Q45" s="76" t="s">
        <v>125</v>
      </c>
      <c r="R45" s="114"/>
      <c r="S45" s="72"/>
      <c r="T45" s="72"/>
      <c r="U45" s="8"/>
      <c r="V45" s="8"/>
      <c r="W45" s="8"/>
      <c r="X45" s="3"/>
      <c r="Y45" s="3"/>
      <c r="Z45" s="3"/>
      <c r="AA45" s="3"/>
      <c r="AB45" s="3"/>
      <c r="AC45" s="3"/>
      <c r="AD45" s="3"/>
      <c r="AE45" s="3"/>
      <c r="AF45" s="3"/>
      <c r="AG45" s="3"/>
    </row>
    <row r="46" spans="1:33" ht="27.75" customHeight="1">
      <c r="A46" s="3"/>
      <c r="B46" s="7"/>
      <c r="C46" s="8" t="s">
        <v>24</v>
      </c>
      <c r="D46" s="76" t="s">
        <v>225</v>
      </c>
      <c r="E46" s="76">
        <v>360</v>
      </c>
      <c r="F46" s="76" t="s">
        <v>19</v>
      </c>
      <c r="G46" s="76" t="s">
        <v>25</v>
      </c>
      <c r="H46" s="77"/>
      <c r="I46" s="78" t="s">
        <v>29</v>
      </c>
      <c r="J46" s="78" t="s">
        <v>22</v>
      </c>
      <c r="K46" s="93"/>
      <c r="L46" s="88">
        <v>1</v>
      </c>
      <c r="M46" s="103"/>
      <c r="N46" s="83">
        <v>1</v>
      </c>
      <c r="O46" s="129">
        <f t="shared" si="2"/>
        <v>2</v>
      </c>
      <c r="P46" s="75" t="s">
        <v>226</v>
      </c>
      <c r="Q46" s="76" t="s">
        <v>125</v>
      </c>
      <c r="R46" s="115" t="s">
        <v>177</v>
      </c>
      <c r="S46" s="72"/>
      <c r="T46" s="72"/>
      <c r="U46" s="8"/>
      <c r="V46" s="8"/>
      <c r="W46" s="8"/>
      <c r="X46" s="3"/>
      <c r="Y46" s="3"/>
      <c r="Z46" s="3"/>
      <c r="AA46" s="3"/>
      <c r="AB46" s="3"/>
      <c r="AC46" s="3"/>
      <c r="AD46" s="3"/>
      <c r="AE46" s="3"/>
      <c r="AF46" s="3"/>
      <c r="AG46" s="3"/>
    </row>
    <row r="47" spans="1:33" ht="27.75" customHeight="1">
      <c r="A47" s="3"/>
      <c r="B47" s="7"/>
      <c r="C47" s="8" t="s">
        <v>24</v>
      </c>
      <c r="D47" s="76" t="s">
        <v>227</v>
      </c>
      <c r="E47" s="76">
        <v>360</v>
      </c>
      <c r="F47" s="76" t="s">
        <v>28</v>
      </c>
      <c r="G47" s="76" t="s">
        <v>25</v>
      </c>
      <c r="H47" s="77"/>
      <c r="I47" s="78" t="s">
        <v>34</v>
      </c>
      <c r="J47" s="78" t="s">
        <v>22</v>
      </c>
      <c r="K47" s="81">
        <v>1</v>
      </c>
      <c r="L47" s="111"/>
      <c r="M47" s="81">
        <v>1</v>
      </c>
      <c r="N47" s="94"/>
      <c r="O47" s="158">
        <f t="shared" si="2"/>
        <v>2</v>
      </c>
      <c r="P47" s="75"/>
      <c r="Q47" s="76" t="s">
        <v>125</v>
      </c>
      <c r="R47" s="114" t="s">
        <v>228</v>
      </c>
      <c r="S47" s="72" t="s">
        <v>66</v>
      </c>
      <c r="T47" s="72"/>
      <c r="U47" s="8"/>
      <c r="V47" s="8"/>
      <c r="W47" s="8"/>
      <c r="X47" s="3"/>
      <c r="Y47" s="3"/>
      <c r="Z47" s="3"/>
      <c r="AA47" s="3"/>
      <c r="AB47" s="3"/>
      <c r="AC47" s="3"/>
      <c r="AD47" s="3"/>
      <c r="AE47" s="3"/>
      <c r="AF47" s="3"/>
      <c r="AG47" s="3"/>
    </row>
    <row r="48" spans="1:33" ht="27.75" customHeight="1">
      <c r="A48" s="3"/>
      <c r="B48" s="7"/>
      <c r="C48" s="8" t="s">
        <v>24</v>
      </c>
      <c r="D48" s="76" t="s">
        <v>229</v>
      </c>
      <c r="E48" s="76" t="s">
        <v>165</v>
      </c>
      <c r="F48" s="76" t="s">
        <v>19</v>
      </c>
      <c r="G48" s="76" t="s">
        <v>25</v>
      </c>
      <c r="H48" s="77"/>
      <c r="I48" s="78" t="s">
        <v>48</v>
      </c>
      <c r="J48" s="78" t="s">
        <v>45</v>
      </c>
      <c r="K48" s="166"/>
      <c r="L48" s="91">
        <v>1</v>
      </c>
      <c r="M48" s="167">
        <v>1</v>
      </c>
      <c r="N48" s="171"/>
      <c r="O48" s="158">
        <f t="shared" si="2"/>
        <v>2</v>
      </c>
      <c r="P48" s="75"/>
      <c r="Q48" s="76" t="s">
        <v>125</v>
      </c>
      <c r="R48" s="114" t="s">
        <v>188</v>
      </c>
      <c r="S48" s="72"/>
      <c r="T48" s="72"/>
      <c r="U48" s="8"/>
      <c r="V48" s="8"/>
      <c r="W48" s="8"/>
      <c r="X48" s="3"/>
      <c r="Y48" s="3"/>
      <c r="Z48" s="3"/>
      <c r="AA48" s="3"/>
      <c r="AB48" s="3"/>
      <c r="AC48" s="3"/>
      <c r="AD48" s="3"/>
      <c r="AE48" s="3"/>
      <c r="AF48" s="3"/>
      <c r="AG48" s="3"/>
    </row>
    <row r="49" spans="1:33" ht="27.75" customHeight="1">
      <c r="A49" s="3"/>
      <c r="B49" s="7"/>
      <c r="C49" s="8" t="s">
        <v>38</v>
      </c>
      <c r="D49" s="76" t="s">
        <v>230</v>
      </c>
      <c r="E49" s="76" t="s">
        <v>27</v>
      </c>
      <c r="F49" s="76" t="s">
        <v>19</v>
      </c>
      <c r="G49" s="76" t="s">
        <v>20</v>
      </c>
      <c r="H49" s="77"/>
      <c r="I49" s="78" t="s">
        <v>68</v>
      </c>
      <c r="J49" s="164" t="s">
        <v>69</v>
      </c>
      <c r="K49" s="81">
        <v>1</v>
      </c>
      <c r="L49" s="81">
        <v>1</v>
      </c>
      <c r="M49" s="79"/>
      <c r="N49" s="80"/>
      <c r="O49" s="158">
        <f t="shared" si="2"/>
        <v>2</v>
      </c>
      <c r="P49" s="75"/>
      <c r="Q49" s="76" t="s">
        <v>125</v>
      </c>
      <c r="R49" s="114" t="s">
        <v>231</v>
      </c>
      <c r="S49" s="72"/>
      <c r="T49" s="72"/>
      <c r="U49" s="8"/>
      <c r="V49" s="8"/>
      <c r="W49" s="8"/>
      <c r="X49" s="3"/>
      <c r="Y49" s="3"/>
      <c r="Z49" s="3"/>
      <c r="AA49" s="3"/>
      <c r="AB49" s="3"/>
      <c r="AC49" s="3"/>
      <c r="AD49" s="3"/>
      <c r="AE49" s="3"/>
      <c r="AF49" s="3"/>
      <c r="AG49" s="3"/>
    </row>
    <row r="50" spans="1:33" ht="27.75" customHeight="1">
      <c r="A50" s="3"/>
      <c r="B50" s="7"/>
      <c r="C50" s="8" t="s">
        <v>30</v>
      </c>
      <c r="D50" s="76" t="s">
        <v>232</v>
      </c>
      <c r="E50" s="76" t="s">
        <v>124</v>
      </c>
      <c r="F50" s="76" t="s">
        <v>28</v>
      </c>
      <c r="G50" s="76" t="s">
        <v>20</v>
      </c>
      <c r="H50" s="77">
        <f>4015.8*12</f>
        <v>48189.600000000006</v>
      </c>
      <c r="I50" s="78" t="s">
        <v>75</v>
      </c>
      <c r="J50" s="78" t="s">
        <v>69</v>
      </c>
      <c r="K50" s="108">
        <v>1</v>
      </c>
      <c r="L50" s="177">
        <v>1</v>
      </c>
      <c r="M50" s="176"/>
      <c r="N50" s="178"/>
      <c r="O50" s="158">
        <f t="shared" si="2"/>
        <v>2</v>
      </c>
      <c r="P50" s="75"/>
      <c r="Q50" s="76" t="s">
        <v>125</v>
      </c>
      <c r="R50" s="115" t="s">
        <v>233</v>
      </c>
      <c r="S50" s="72" t="s">
        <v>66</v>
      </c>
      <c r="T50" s="72"/>
      <c r="U50" s="8"/>
      <c r="V50" s="8"/>
      <c r="W50" s="8"/>
      <c r="X50" s="3"/>
      <c r="Y50" s="3"/>
      <c r="Z50" s="3"/>
      <c r="AA50" s="3"/>
      <c r="AB50" s="3"/>
      <c r="AC50" s="3"/>
      <c r="AD50" s="3"/>
      <c r="AE50" s="3"/>
      <c r="AF50" s="3"/>
      <c r="AG50" s="3"/>
    </row>
    <row r="51" spans="1:33" ht="27.75" customHeight="1">
      <c r="A51" s="3"/>
      <c r="B51" s="7"/>
      <c r="C51" s="8" t="s">
        <v>38</v>
      </c>
      <c r="D51" s="76" t="s">
        <v>234</v>
      </c>
      <c r="E51" s="76" t="s">
        <v>27</v>
      </c>
      <c r="F51" s="76" t="s">
        <v>19</v>
      </c>
      <c r="G51" s="76" t="s">
        <v>20</v>
      </c>
      <c r="H51" s="77"/>
      <c r="I51" s="78" t="s">
        <v>75</v>
      </c>
      <c r="J51" s="164" t="s">
        <v>69</v>
      </c>
      <c r="K51" s="81">
        <v>1</v>
      </c>
      <c r="L51" s="81">
        <v>1</v>
      </c>
      <c r="M51" s="79"/>
      <c r="N51" s="80"/>
      <c r="O51" s="158">
        <f t="shared" si="2"/>
        <v>2</v>
      </c>
      <c r="P51" s="75"/>
      <c r="Q51" s="76" t="s">
        <v>125</v>
      </c>
      <c r="R51" s="114" t="s">
        <v>235</v>
      </c>
      <c r="S51" s="72" t="s">
        <v>66</v>
      </c>
      <c r="T51" s="72"/>
      <c r="U51" s="8"/>
      <c r="V51" s="8"/>
      <c r="W51" s="8"/>
      <c r="X51" s="3"/>
      <c r="Y51" s="3"/>
      <c r="Z51" s="3"/>
      <c r="AA51" s="3"/>
      <c r="AB51" s="3"/>
      <c r="AC51" s="3"/>
      <c r="AD51" s="3"/>
      <c r="AE51" s="3"/>
      <c r="AF51" s="3"/>
      <c r="AG51" s="3"/>
    </row>
    <row r="52" spans="1:33" ht="27.75" customHeight="1">
      <c r="A52" s="3"/>
      <c r="B52" s="7"/>
      <c r="C52" s="8" t="s">
        <v>30</v>
      </c>
      <c r="D52" s="76" t="s">
        <v>236</v>
      </c>
      <c r="E52" s="76" t="s">
        <v>165</v>
      </c>
      <c r="F52" s="76" t="s">
        <v>19</v>
      </c>
      <c r="G52" s="76" t="s">
        <v>25</v>
      </c>
      <c r="H52" s="77"/>
      <c r="I52" s="78" t="s">
        <v>73</v>
      </c>
      <c r="J52" s="78" t="s">
        <v>69</v>
      </c>
      <c r="K52" s="87"/>
      <c r="L52" s="98"/>
      <c r="M52" s="174">
        <v>1</v>
      </c>
      <c r="N52" s="180">
        <v>1</v>
      </c>
      <c r="O52" s="129">
        <f t="shared" si="2"/>
        <v>2</v>
      </c>
      <c r="P52" s="75" t="s">
        <v>237</v>
      </c>
      <c r="Q52" s="76" t="s">
        <v>125</v>
      </c>
      <c r="R52" s="115" t="s">
        <v>238</v>
      </c>
      <c r="S52" s="72"/>
      <c r="T52" s="72"/>
      <c r="U52" s="8"/>
      <c r="V52" s="8"/>
      <c r="W52" s="8"/>
      <c r="X52" s="3"/>
      <c r="Y52" s="3"/>
      <c r="Z52" s="3"/>
      <c r="AA52" s="3"/>
      <c r="AB52" s="3"/>
      <c r="AC52" s="3"/>
      <c r="AD52" s="3"/>
      <c r="AE52" s="3"/>
      <c r="AF52" s="3"/>
      <c r="AG52" s="3"/>
    </row>
    <row r="53" spans="1:33" ht="27.75" customHeight="1">
      <c r="A53" s="3"/>
      <c r="B53" s="7"/>
      <c r="C53" s="51" t="s">
        <v>38</v>
      </c>
      <c r="D53" s="76" t="s">
        <v>239</v>
      </c>
      <c r="E53" s="76" t="s">
        <v>240</v>
      </c>
      <c r="F53" s="76" t="s">
        <v>19</v>
      </c>
      <c r="G53" s="76" t="s">
        <v>25</v>
      </c>
      <c r="H53" s="77"/>
      <c r="I53" s="90" t="s">
        <v>81</v>
      </c>
      <c r="J53" s="90" t="s">
        <v>82</v>
      </c>
      <c r="K53" s="103"/>
      <c r="L53" s="79"/>
      <c r="M53" s="112">
        <v>1</v>
      </c>
      <c r="N53" s="83">
        <v>1</v>
      </c>
      <c r="O53" s="129">
        <f t="shared" si="2"/>
        <v>2</v>
      </c>
      <c r="P53" s="75" t="s">
        <v>241</v>
      </c>
      <c r="Q53" s="76" t="s">
        <v>125</v>
      </c>
      <c r="R53" s="115"/>
      <c r="S53" s="72"/>
      <c r="T53" s="72"/>
      <c r="U53" s="8"/>
      <c r="V53" s="8"/>
      <c r="W53" s="8"/>
      <c r="X53" s="3"/>
      <c r="Y53" s="3"/>
      <c r="Z53" s="3"/>
      <c r="AA53" s="3"/>
      <c r="AB53" s="3"/>
      <c r="AC53" s="3"/>
      <c r="AD53" s="3"/>
      <c r="AE53" s="3"/>
      <c r="AF53" s="3"/>
      <c r="AG53" s="3"/>
    </row>
    <row r="54" spans="1:33" ht="27.75" customHeight="1">
      <c r="A54" s="3"/>
      <c r="B54" s="7"/>
      <c r="C54" s="8" t="s">
        <v>38</v>
      </c>
      <c r="D54" s="76" t="s">
        <v>242</v>
      </c>
      <c r="E54" s="76">
        <v>360</v>
      </c>
      <c r="F54" s="76" t="s">
        <v>19</v>
      </c>
      <c r="G54" s="76" t="s">
        <v>20</v>
      </c>
      <c r="H54" s="77"/>
      <c r="I54" s="78" t="s">
        <v>21</v>
      </c>
      <c r="J54" s="78" t="s">
        <v>22</v>
      </c>
      <c r="K54" s="81">
        <v>1</v>
      </c>
      <c r="L54" s="81">
        <v>1</v>
      </c>
      <c r="M54" s="79"/>
      <c r="N54" s="92">
        <v>1</v>
      </c>
      <c r="O54" s="158">
        <f t="shared" si="2"/>
        <v>3</v>
      </c>
      <c r="P54" s="75" t="s">
        <v>163</v>
      </c>
      <c r="Q54" s="76" t="s">
        <v>125</v>
      </c>
      <c r="R54" s="114" t="s">
        <v>243</v>
      </c>
      <c r="S54" s="72" t="s">
        <v>66</v>
      </c>
      <c r="T54" s="72"/>
      <c r="U54" s="8"/>
      <c r="V54" s="61"/>
      <c r="W54" s="150"/>
      <c r="X54" s="3"/>
      <c r="Y54" s="3"/>
      <c r="Z54" s="3"/>
      <c r="AA54" s="3"/>
      <c r="AB54" s="3"/>
      <c r="AC54" s="3"/>
      <c r="AD54" s="3"/>
      <c r="AE54" s="3"/>
      <c r="AF54" s="3"/>
      <c r="AG54" s="3"/>
    </row>
    <row r="55" spans="1:33" ht="27.75" customHeight="1">
      <c r="A55" s="3"/>
      <c r="B55" s="7"/>
      <c r="C55" s="8" t="s">
        <v>38</v>
      </c>
      <c r="D55" s="76" t="s">
        <v>244</v>
      </c>
      <c r="E55" s="76" t="s">
        <v>124</v>
      </c>
      <c r="F55" s="76" t="s">
        <v>19</v>
      </c>
      <c r="G55" s="76" t="s">
        <v>25</v>
      </c>
      <c r="H55" s="77">
        <v>10072</v>
      </c>
      <c r="I55" s="78" t="s">
        <v>34</v>
      </c>
      <c r="J55" s="78" t="s">
        <v>22</v>
      </c>
      <c r="K55" s="167">
        <v>1</v>
      </c>
      <c r="L55" s="167">
        <v>1</v>
      </c>
      <c r="M55" s="166"/>
      <c r="N55" s="169">
        <v>1</v>
      </c>
      <c r="O55" s="158">
        <f t="shared" si="2"/>
        <v>3</v>
      </c>
      <c r="P55" s="75" t="s">
        <v>237</v>
      </c>
      <c r="Q55" s="76" t="s">
        <v>125</v>
      </c>
      <c r="R55" s="114" t="s">
        <v>245</v>
      </c>
      <c r="S55" s="72" t="s">
        <v>66</v>
      </c>
      <c r="T55" s="72"/>
      <c r="U55" s="8"/>
      <c r="V55" s="61"/>
      <c r="W55" s="8"/>
      <c r="X55" s="3"/>
      <c r="Y55" s="3"/>
      <c r="Z55" s="3"/>
      <c r="AA55" s="3"/>
      <c r="AB55" s="3"/>
      <c r="AC55" s="3"/>
      <c r="AD55" s="3"/>
      <c r="AE55" s="3"/>
      <c r="AF55" s="3"/>
      <c r="AG55" s="3"/>
    </row>
    <row r="56" spans="1:33" ht="27.75" customHeight="1">
      <c r="A56" s="3"/>
      <c r="B56" s="7"/>
      <c r="C56" s="8" t="s">
        <v>38</v>
      </c>
      <c r="D56" s="76" t="s">
        <v>246</v>
      </c>
      <c r="E56" s="76" t="s">
        <v>27</v>
      </c>
      <c r="F56" s="76" t="s">
        <v>19</v>
      </c>
      <c r="G56" s="76" t="s">
        <v>20</v>
      </c>
      <c r="H56" s="77"/>
      <c r="I56" s="78" t="s">
        <v>48</v>
      </c>
      <c r="J56" s="164" t="s">
        <v>45</v>
      </c>
      <c r="K56" s="81">
        <v>1</v>
      </c>
      <c r="L56" s="81">
        <v>1</v>
      </c>
      <c r="M56" s="81">
        <v>1</v>
      </c>
      <c r="N56" s="80"/>
      <c r="O56" s="158">
        <f t="shared" si="2"/>
        <v>3</v>
      </c>
      <c r="P56" s="75"/>
      <c r="Q56" s="76" t="s">
        <v>125</v>
      </c>
      <c r="R56" s="114"/>
      <c r="S56" s="72"/>
      <c r="T56" s="72"/>
      <c r="U56" s="8"/>
      <c r="V56" s="8"/>
      <c r="W56" s="8"/>
      <c r="X56" s="3"/>
      <c r="Y56" s="3"/>
      <c r="Z56" s="3"/>
      <c r="AA56" s="3"/>
      <c r="AB56" s="3"/>
      <c r="AC56" s="3"/>
      <c r="AD56" s="3"/>
      <c r="AE56" s="3"/>
      <c r="AF56" s="3"/>
      <c r="AG56" s="3"/>
    </row>
    <row r="57" spans="1:33" ht="27.75" customHeight="1">
      <c r="A57" s="3"/>
      <c r="B57" s="7"/>
      <c r="C57" s="8" t="s">
        <v>38</v>
      </c>
      <c r="D57" s="76" t="s">
        <v>247</v>
      </c>
      <c r="E57" s="97" t="s">
        <v>124</v>
      </c>
      <c r="F57" s="76" t="s">
        <v>28</v>
      </c>
      <c r="G57" s="76" t="s">
        <v>25</v>
      </c>
      <c r="H57" s="77"/>
      <c r="I57" s="78" t="s">
        <v>29</v>
      </c>
      <c r="J57" s="78" t="s">
        <v>22</v>
      </c>
      <c r="K57" s="173"/>
      <c r="L57" s="173"/>
      <c r="M57" s="119"/>
      <c r="N57" s="175"/>
      <c r="O57" s="84">
        <f t="shared" si="1"/>
        <v>0</v>
      </c>
      <c r="P57" s="75"/>
      <c r="Q57" s="76" t="s">
        <v>39</v>
      </c>
      <c r="R57" s="114" t="s">
        <v>248</v>
      </c>
      <c r="S57" s="72"/>
      <c r="T57" s="72"/>
      <c r="U57" s="8"/>
      <c r="V57" s="8"/>
      <c r="W57" s="8"/>
      <c r="X57" s="3"/>
      <c r="Y57" s="3"/>
      <c r="Z57" s="3"/>
      <c r="AA57" s="3"/>
      <c r="AB57" s="3"/>
      <c r="AC57" s="3"/>
      <c r="AD57" s="3"/>
      <c r="AE57" s="3"/>
      <c r="AF57" s="3"/>
      <c r="AG57" s="3"/>
    </row>
    <row r="58" spans="1:33" ht="27.75" customHeight="1">
      <c r="A58" s="3"/>
      <c r="B58" s="7"/>
      <c r="C58" s="8" t="s">
        <v>30</v>
      </c>
      <c r="D58" s="76" t="s">
        <v>249</v>
      </c>
      <c r="E58" s="97" t="s">
        <v>124</v>
      </c>
      <c r="F58" s="76" t="s">
        <v>28</v>
      </c>
      <c r="G58" s="76" t="s">
        <v>25</v>
      </c>
      <c r="H58" s="77"/>
      <c r="I58" s="78" t="s">
        <v>34</v>
      </c>
      <c r="J58" s="78" t="s">
        <v>22</v>
      </c>
      <c r="K58" s="79"/>
      <c r="L58" s="79"/>
      <c r="M58" s="111"/>
      <c r="N58" s="80"/>
      <c r="O58" s="84">
        <f t="shared" si="1"/>
        <v>0</v>
      </c>
      <c r="P58" s="75"/>
      <c r="Q58" s="76" t="s">
        <v>39</v>
      </c>
      <c r="R58" s="114"/>
      <c r="S58" s="72"/>
      <c r="T58" s="72"/>
      <c r="U58" s="8"/>
      <c r="V58" s="8"/>
      <c r="W58" s="8"/>
      <c r="X58" s="3"/>
      <c r="Y58" s="3"/>
      <c r="Z58" s="3"/>
      <c r="AA58" s="3"/>
      <c r="AB58" s="3"/>
      <c r="AC58" s="3"/>
      <c r="AD58" s="3"/>
      <c r="AE58" s="3"/>
      <c r="AF58" s="3"/>
      <c r="AG58" s="3"/>
    </row>
    <row r="59" spans="1:33" ht="27.75" customHeight="1">
      <c r="A59" s="3"/>
      <c r="B59" s="7"/>
      <c r="C59" s="8" t="s">
        <v>35</v>
      </c>
      <c r="D59" s="76" t="s">
        <v>250</v>
      </c>
      <c r="E59" s="76" t="s">
        <v>87</v>
      </c>
      <c r="F59" s="76" t="s">
        <v>28</v>
      </c>
      <c r="G59" s="76" t="s">
        <v>25</v>
      </c>
      <c r="H59" s="77"/>
      <c r="I59" s="78" t="s">
        <v>75</v>
      </c>
      <c r="J59" s="78" t="s">
        <v>69</v>
      </c>
      <c r="K59" s="79"/>
      <c r="L59" s="79"/>
      <c r="M59" s="111"/>
      <c r="N59" s="80"/>
      <c r="O59" s="84">
        <f t="shared" si="1"/>
        <v>0</v>
      </c>
      <c r="P59" s="75"/>
      <c r="Q59" s="76" t="s">
        <v>39</v>
      </c>
      <c r="R59" s="114" t="s">
        <v>251</v>
      </c>
      <c r="S59" s="72"/>
      <c r="T59" s="72"/>
      <c r="U59" s="8"/>
      <c r="V59" s="8"/>
      <c r="W59" s="8"/>
      <c r="X59" s="3"/>
      <c r="Y59" s="3"/>
      <c r="Z59" s="3"/>
      <c r="AA59" s="3"/>
      <c r="AB59" s="3"/>
      <c r="AC59" s="3"/>
      <c r="AD59" s="3"/>
      <c r="AE59" s="3"/>
      <c r="AF59" s="3"/>
      <c r="AG59" s="3"/>
    </row>
    <row r="60" spans="1:33" ht="27.75" customHeight="1">
      <c r="A60" s="3"/>
      <c r="B60" s="7"/>
      <c r="C60" s="8" t="s">
        <v>38</v>
      </c>
      <c r="D60" s="76" t="s">
        <v>252</v>
      </c>
      <c r="E60" s="76" t="s">
        <v>87</v>
      </c>
      <c r="F60" s="76" t="s">
        <v>28</v>
      </c>
      <c r="G60" s="76" t="s">
        <v>32</v>
      </c>
      <c r="H60" s="77"/>
      <c r="I60" s="78" t="s">
        <v>34</v>
      </c>
      <c r="J60" s="78" t="s">
        <v>22</v>
      </c>
      <c r="K60" s="79" t="s">
        <v>66</v>
      </c>
      <c r="L60" s="79"/>
      <c r="M60" s="91">
        <v>1</v>
      </c>
      <c r="N60" s="80"/>
      <c r="O60" s="84">
        <f t="shared" si="1"/>
        <v>1</v>
      </c>
      <c r="P60" s="75"/>
      <c r="Q60" s="76" t="s">
        <v>39</v>
      </c>
      <c r="R60" s="114" t="s">
        <v>253</v>
      </c>
      <c r="S60" s="72" t="s">
        <v>66</v>
      </c>
      <c r="T60" s="72"/>
      <c r="U60" s="8"/>
      <c r="V60" s="8"/>
      <c r="W60" s="8"/>
      <c r="X60" s="3"/>
      <c r="Y60" s="3"/>
      <c r="Z60" s="3"/>
      <c r="AA60" s="3"/>
      <c r="AB60" s="3"/>
      <c r="AC60" s="3"/>
      <c r="AD60" s="3"/>
      <c r="AE60" s="3"/>
      <c r="AF60" s="3"/>
      <c r="AG60" s="3"/>
    </row>
    <row r="61" spans="1:33" ht="27.75" customHeight="1">
      <c r="A61" s="3"/>
      <c r="B61" s="7" t="s">
        <v>66</v>
      </c>
      <c r="C61" s="8" t="s">
        <v>30</v>
      </c>
      <c r="D61" s="76" t="s">
        <v>254</v>
      </c>
      <c r="E61" s="97" t="s">
        <v>124</v>
      </c>
      <c r="F61" s="76" t="s">
        <v>28</v>
      </c>
      <c r="G61" s="76" t="s">
        <v>25</v>
      </c>
      <c r="H61" s="77"/>
      <c r="I61" s="78" t="s">
        <v>29</v>
      </c>
      <c r="J61" s="78" t="s">
        <v>22</v>
      </c>
      <c r="K61" s="79"/>
      <c r="L61" s="79"/>
      <c r="M61" s="81">
        <v>1</v>
      </c>
      <c r="N61" s="94"/>
      <c r="O61" s="84">
        <f t="shared" si="1"/>
        <v>1</v>
      </c>
      <c r="P61" s="75"/>
      <c r="Q61" s="76" t="s">
        <v>39</v>
      </c>
      <c r="R61" s="114" t="s">
        <v>255</v>
      </c>
      <c r="S61" s="72"/>
      <c r="T61" s="72"/>
      <c r="U61" s="8"/>
      <c r="V61" s="8"/>
      <c r="W61" s="8"/>
      <c r="X61" s="3"/>
      <c r="Y61" s="3"/>
      <c r="Z61" s="3"/>
      <c r="AA61" s="3"/>
      <c r="AB61" s="3"/>
      <c r="AC61" s="3"/>
      <c r="AD61" s="3"/>
      <c r="AE61" s="3"/>
      <c r="AF61" s="3"/>
      <c r="AG61" s="3"/>
    </row>
    <row r="62" spans="1:33" ht="27.75" customHeight="1">
      <c r="A62" s="3"/>
      <c r="B62" s="7"/>
      <c r="C62" s="51" t="s">
        <v>38</v>
      </c>
      <c r="D62" s="76" t="s">
        <v>256</v>
      </c>
      <c r="E62" s="76" t="s">
        <v>257</v>
      </c>
      <c r="F62" s="76" t="s">
        <v>28</v>
      </c>
      <c r="G62" s="76" t="s">
        <v>25</v>
      </c>
      <c r="H62" s="77"/>
      <c r="I62" s="78" t="s">
        <v>29</v>
      </c>
      <c r="J62" s="78" t="s">
        <v>22</v>
      </c>
      <c r="K62" s="91">
        <v>1</v>
      </c>
      <c r="L62" s="98"/>
      <c r="M62" s="79"/>
      <c r="N62" s="94"/>
      <c r="O62" s="84">
        <f t="shared" si="1"/>
        <v>1</v>
      </c>
      <c r="P62" s="75"/>
      <c r="Q62" s="76" t="s">
        <v>39</v>
      </c>
      <c r="R62" s="115"/>
      <c r="S62" s="72"/>
      <c r="T62" s="72"/>
      <c r="U62" s="8"/>
      <c r="V62" s="8"/>
      <c r="W62" s="8"/>
      <c r="X62" s="3"/>
      <c r="Y62" s="3"/>
      <c r="Z62" s="3"/>
      <c r="AA62" s="3"/>
      <c r="AB62" s="3"/>
      <c r="AC62" s="3"/>
      <c r="AD62" s="3"/>
      <c r="AE62" s="3"/>
      <c r="AF62" s="3"/>
      <c r="AG62" s="3"/>
    </row>
    <row r="63" spans="1:33" ht="27.75" customHeight="1">
      <c r="A63" s="3"/>
      <c r="B63" s="7"/>
      <c r="C63" s="8" t="s">
        <v>35</v>
      </c>
      <c r="D63" s="76" t="s">
        <v>258</v>
      </c>
      <c r="E63" s="76">
        <v>360</v>
      </c>
      <c r="F63" s="76" t="s">
        <v>19</v>
      </c>
      <c r="G63" s="76" t="s">
        <v>25</v>
      </c>
      <c r="H63" s="77"/>
      <c r="I63" s="78" t="s">
        <v>44</v>
      </c>
      <c r="J63" s="78" t="s">
        <v>45</v>
      </c>
      <c r="K63" s="103"/>
      <c r="L63" s="81">
        <v>1</v>
      </c>
      <c r="M63" s="109"/>
      <c r="N63" s="80"/>
      <c r="O63" s="84">
        <f t="shared" si="1"/>
        <v>1</v>
      </c>
      <c r="P63" s="75"/>
      <c r="Q63" s="76" t="s">
        <v>39</v>
      </c>
      <c r="R63" s="115"/>
      <c r="S63" s="72" t="s">
        <v>259</v>
      </c>
      <c r="T63" s="72"/>
      <c r="U63" s="8"/>
      <c r="V63" s="8"/>
      <c r="W63" s="8"/>
      <c r="X63" s="3"/>
      <c r="Y63" s="3"/>
      <c r="Z63" s="3"/>
      <c r="AA63" s="3"/>
      <c r="AB63" s="3"/>
      <c r="AC63" s="3"/>
      <c r="AD63" s="3"/>
      <c r="AE63" s="3"/>
      <c r="AF63" s="3"/>
      <c r="AG63" s="3"/>
    </row>
    <row r="64" spans="1:33" ht="27.75" customHeight="1">
      <c r="A64" s="3"/>
      <c r="B64" s="7"/>
      <c r="C64" s="8" t="s">
        <v>38</v>
      </c>
      <c r="D64" s="76" t="s">
        <v>260</v>
      </c>
      <c r="E64" s="76">
        <v>360</v>
      </c>
      <c r="F64" s="76" t="s">
        <v>19</v>
      </c>
      <c r="G64" s="76" t="s">
        <v>25</v>
      </c>
      <c r="H64" s="77"/>
      <c r="I64" s="78" t="s">
        <v>73</v>
      </c>
      <c r="J64" s="78" t="s">
        <v>69</v>
      </c>
      <c r="K64" s="79"/>
      <c r="L64" s="79"/>
      <c r="M64" s="81">
        <v>1</v>
      </c>
      <c r="N64" s="94"/>
      <c r="O64" s="84">
        <f t="shared" si="1"/>
        <v>1</v>
      </c>
      <c r="P64" s="75"/>
      <c r="Q64" s="76" t="s">
        <v>39</v>
      </c>
      <c r="R64" s="114" t="s">
        <v>261</v>
      </c>
      <c r="S64" s="72"/>
      <c r="T64" s="72"/>
      <c r="U64" s="8"/>
      <c r="V64" s="8"/>
      <c r="W64" s="8"/>
      <c r="X64" s="3"/>
      <c r="Y64" s="3"/>
      <c r="Z64" s="3"/>
      <c r="AA64" s="3"/>
      <c r="AB64" s="3"/>
      <c r="AC64" s="3"/>
      <c r="AD64" s="3"/>
      <c r="AE64" s="3"/>
      <c r="AF64" s="3"/>
      <c r="AG64" s="3"/>
    </row>
    <row r="65" spans="1:33" ht="27.75" customHeight="1">
      <c r="A65" s="3"/>
      <c r="B65" s="7"/>
      <c r="C65" s="8" t="s">
        <v>35</v>
      </c>
      <c r="D65" s="76" t="s">
        <v>262</v>
      </c>
      <c r="E65" s="76" t="s">
        <v>87</v>
      </c>
      <c r="F65" s="76" t="s">
        <v>28</v>
      </c>
      <c r="G65" s="76" t="s">
        <v>25</v>
      </c>
      <c r="H65" s="77"/>
      <c r="I65" s="78" t="s">
        <v>73</v>
      </c>
      <c r="J65" s="78" t="s">
        <v>69</v>
      </c>
      <c r="K65" s="166" t="s">
        <v>66</v>
      </c>
      <c r="L65" s="166"/>
      <c r="M65" s="167">
        <v>1</v>
      </c>
      <c r="N65" s="168"/>
      <c r="O65" s="84">
        <f t="shared" si="1"/>
        <v>1</v>
      </c>
      <c r="P65" s="75"/>
      <c r="Q65" s="76" t="s">
        <v>39</v>
      </c>
      <c r="R65" s="114" t="s">
        <v>263</v>
      </c>
      <c r="S65" s="72" t="s">
        <v>66</v>
      </c>
      <c r="T65" s="72"/>
      <c r="U65" s="8"/>
      <c r="V65" s="8"/>
      <c r="W65" s="8"/>
      <c r="X65" s="3" t="s">
        <v>66</v>
      </c>
      <c r="Y65" s="3"/>
      <c r="Z65" s="3"/>
      <c r="AA65" s="3"/>
      <c r="AB65" s="3"/>
      <c r="AC65" s="3"/>
      <c r="AD65" s="3"/>
      <c r="AE65" s="3"/>
      <c r="AF65" s="3"/>
      <c r="AG65" s="3"/>
    </row>
    <row r="66" spans="1:33" ht="27.75" customHeight="1">
      <c r="A66" s="3"/>
      <c r="B66" s="7"/>
      <c r="C66" s="8" t="s">
        <v>35</v>
      </c>
      <c r="D66" s="76" t="s">
        <v>264</v>
      </c>
      <c r="E66" s="76" t="s">
        <v>27</v>
      </c>
      <c r="F66" s="76" t="s">
        <v>19</v>
      </c>
      <c r="G66" s="76" t="s">
        <v>25</v>
      </c>
      <c r="H66" s="77"/>
      <c r="I66" s="78" t="s">
        <v>68</v>
      </c>
      <c r="J66" s="164" t="s">
        <v>69</v>
      </c>
      <c r="K66" s="79" t="s">
        <v>66</v>
      </c>
      <c r="L66" s="79"/>
      <c r="M66" s="81">
        <v>1</v>
      </c>
      <c r="N66" s="80"/>
      <c r="O66" s="84">
        <f t="shared" si="1"/>
        <v>1</v>
      </c>
      <c r="P66" s="75"/>
      <c r="Q66" s="76" t="s">
        <v>39</v>
      </c>
      <c r="R66" s="115" t="s">
        <v>265</v>
      </c>
      <c r="S66" s="72" t="s">
        <v>66</v>
      </c>
      <c r="T66" s="72"/>
      <c r="U66" s="8"/>
      <c r="V66" s="8"/>
      <c r="W66" s="8"/>
      <c r="X66" s="3"/>
      <c r="Y66" s="3"/>
      <c r="Z66" s="3"/>
      <c r="AA66" s="3"/>
      <c r="AB66" s="3"/>
      <c r="AC66" s="3"/>
      <c r="AD66" s="3"/>
      <c r="AE66" s="3"/>
      <c r="AF66" s="3"/>
      <c r="AG66" s="3"/>
    </row>
    <row r="67" spans="1:33" ht="27.75" customHeight="1">
      <c r="A67" s="3"/>
      <c r="B67" s="7"/>
      <c r="C67" s="8" t="s">
        <v>35</v>
      </c>
      <c r="D67" s="76" t="s">
        <v>266</v>
      </c>
      <c r="E67" s="76" t="s">
        <v>267</v>
      </c>
      <c r="F67" s="76" t="s">
        <v>28</v>
      </c>
      <c r="G67" s="76" t="s">
        <v>25</v>
      </c>
      <c r="H67" s="76"/>
      <c r="I67" s="90" t="s">
        <v>181</v>
      </c>
      <c r="J67" s="90" t="s">
        <v>82</v>
      </c>
      <c r="K67" s="181"/>
      <c r="L67" s="181"/>
      <c r="M67" s="89">
        <v>1</v>
      </c>
      <c r="N67" s="181"/>
      <c r="O67" s="84">
        <f t="shared" si="1"/>
        <v>1</v>
      </c>
      <c r="P67" s="75"/>
      <c r="Q67" s="76" t="s">
        <v>39</v>
      </c>
      <c r="R67" s="114"/>
      <c r="S67" s="72"/>
      <c r="T67" s="72"/>
      <c r="U67" s="8"/>
      <c r="V67" s="8"/>
      <c r="W67" s="8"/>
      <c r="X67" s="3"/>
      <c r="Y67" s="3"/>
      <c r="Z67" s="3"/>
      <c r="AA67" s="3"/>
      <c r="AB67" s="3"/>
      <c r="AC67" s="3"/>
      <c r="AD67" s="3"/>
      <c r="AE67" s="3"/>
      <c r="AF67" s="3"/>
      <c r="AG67" s="3"/>
    </row>
    <row r="68" spans="1:33" ht="27.75" customHeight="1">
      <c r="A68" s="3"/>
      <c r="B68" s="7"/>
      <c r="C68" s="8" t="s">
        <v>30</v>
      </c>
      <c r="D68" s="76" t="s">
        <v>210</v>
      </c>
      <c r="E68" s="76" t="s">
        <v>27</v>
      </c>
      <c r="F68" s="76" t="s">
        <v>19</v>
      </c>
      <c r="G68" s="76" t="s">
        <v>20</v>
      </c>
      <c r="H68" s="76"/>
      <c r="I68" s="90" t="s">
        <v>268</v>
      </c>
      <c r="J68" s="165" t="s">
        <v>82</v>
      </c>
      <c r="K68" s="81">
        <v>1</v>
      </c>
      <c r="L68" s="80"/>
      <c r="M68" s="80"/>
      <c r="N68" s="80"/>
      <c r="O68" s="84">
        <f t="shared" si="1"/>
        <v>1</v>
      </c>
      <c r="P68" s="75"/>
      <c r="Q68" s="76" t="s">
        <v>39</v>
      </c>
      <c r="R68" s="114"/>
      <c r="S68" s="72"/>
      <c r="T68" s="72"/>
      <c r="U68" s="8"/>
      <c r="V68" s="8"/>
      <c r="W68" s="8"/>
      <c r="X68" s="3"/>
      <c r="Y68" s="3"/>
      <c r="Z68" s="3"/>
      <c r="AA68" s="3"/>
      <c r="AB68" s="3"/>
      <c r="AC68" s="3"/>
      <c r="AD68" s="3"/>
      <c r="AE68" s="3"/>
      <c r="AF68" s="3"/>
      <c r="AG68" s="3"/>
    </row>
    <row r="69" spans="1:33" ht="27.75" customHeight="1">
      <c r="A69" s="3"/>
      <c r="B69" s="7"/>
      <c r="C69" s="8" t="s">
        <v>35</v>
      </c>
      <c r="D69" s="76" t="s">
        <v>269</v>
      </c>
      <c r="E69" s="97" t="s">
        <v>124</v>
      </c>
      <c r="F69" s="76" t="s">
        <v>28</v>
      </c>
      <c r="G69" s="76" t="s">
        <v>25</v>
      </c>
      <c r="H69" s="77"/>
      <c r="I69" s="78" t="s">
        <v>21</v>
      </c>
      <c r="J69" s="78" t="s">
        <v>22</v>
      </c>
      <c r="K69" s="174">
        <v>1</v>
      </c>
      <c r="L69" s="174">
        <v>1</v>
      </c>
      <c r="M69" s="100"/>
      <c r="N69" s="175"/>
      <c r="O69" s="158">
        <f>SUM(K69:N69)</f>
        <v>2</v>
      </c>
      <c r="P69" s="75"/>
      <c r="Q69" s="76" t="s">
        <v>39</v>
      </c>
      <c r="R69" s="114" t="s">
        <v>270</v>
      </c>
      <c r="S69" s="72" t="s">
        <v>66</v>
      </c>
      <c r="T69" s="72"/>
      <c r="U69" s="8"/>
      <c r="V69" s="8"/>
      <c r="W69" s="8"/>
      <c r="X69" s="3"/>
      <c r="Y69" s="3"/>
      <c r="Z69" s="3"/>
      <c r="AA69" s="3"/>
      <c r="AB69" s="3"/>
      <c r="AC69" s="3"/>
      <c r="AD69" s="3"/>
      <c r="AE69" s="3"/>
      <c r="AF69" s="3"/>
      <c r="AG69" s="3"/>
    </row>
    <row r="70" spans="1:33" ht="27.75" customHeight="1">
      <c r="A70" s="3"/>
      <c r="B70" s="7"/>
      <c r="C70" s="8" t="s">
        <v>35</v>
      </c>
      <c r="D70" s="76" t="s">
        <v>271</v>
      </c>
      <c r="E70" s="76" t="s">
        <v>272</v>
      </c>
      <c r="F70" s="76" t="s">
        <v>28</v>
      </c>
      <c r="G70" s="76" t="s">
        <v>25</v>
      </c>
      <c r="H70" s="77"/>
      <c r="I70" s="78" t="s">
        <v>21</v>
      </c>
      <c r="J70" s="78" t="s">
        <v>22</v>
      </c>
      <c r="K70" s="81">
        <v>1</v>
      </c>
      <c r="L70" s="79"/>
      <c r="M70" s="120">
        <v>1</v>
      </c>
      <c r="N70" s="80"/>
      <c r="O70" s="158">
        <f>SUM(K70:N70)</f>
        <v>2</v>
      </c>
      <c r="P70" s="75"/>
      <c r="Q70" s="76" t="s">
        <v>39</v>
      </c>
      <c r="R70" s="114" t="s">
        <v>273</v>
      </c>
      <c r="S70" s="72" t="s">
        <v>66</v>
      </c>
      <c r="T70" s="72"/>
      <c r="U70" s="8"/>
      <c r="V70" s="8"/>
      <c r="W70" s="8"/>
      <c r="X70" s="3"/>
      <c r="Y70" s="3"/>
      <c r="Z70" s="3"/>
      <c r="AA70" s="3"/>
      <c r="AB70" s="3"/>
      <c r="AC70" s="3"/>
      <c r="AD70" s="3"/>
      <c r="AE70" s="3"/>
      <c r="AF70" s="3"/>
      <c r="AG70" s="3"/>
    </row>
    <row r="71" spans="1:33" ht="27.75" customHeight="1">
      <c r="A71" s="3"/>
      <c r="B71" s="20"/>
      <c r="C71" s="8" t="s">
        <v>35</v>
      </c>
      <c r="D71" s="76" t="s">
        <v>274</v>
      </c>
      <c r="E71" s="76">
        <v>360</v>
      </c>
      <c r="F71" s="76" t="s">
        <v>28</v>
      </c>
      <c r="G71" s="76" t="s">
        <v>20</v>
      </c>
      <c r="H71" s="77"/>
      <c r="I71" s="78" t="s">
        <v>75</v>
      </c>
      <c r="J71" s="78" t="s">
        <v>69</v>
      </c>
      <c r="K71" s="88">
        <v>1</v>
      </c>
      <c r="L71" s="98"/>
      <c r="M71" s="81">
        <v>1</v>
      </c>
      <c r="N71" s="94"/>
      <c r="O71" s="158">
        <f>SUM(K71:N71)</f>
        <v>2</v>
      </c>
      <c r="P71" s="75"/>
      <c r="Q71" s="76" t="s">
        <v>39</v>
      </c>
      <c r="R71" s="115" t="s">
        <v>275</v>
      </c>
      <c r="S71" s="72"/>
      <c r="T71" s="72"/>
      <c r="U71" s="8"/>
      <c r="V71" s="8"/>
      <c r="W71" s="8"/>
      <c r="X71" s="3"/>
      <c r="Y71" s="3"/>
      <c r="Z71" s="3"/>
      <c r="AA71" s="3"/>
      <c r="AB71" s="3"/>
      <c r="AC71" s="3"/>
      <c r="AD71" s="3"/>
      <c r="AE71" s="3"/>
      <c r="AF71" s="3"/>
      <c r="AG71" s="3"/>
    </row>
    <row r="72" spans="1:33" ht="27.75" customHeight="1">
      <c r="A72" s="3"/>
      <c r="B72" s="7"/>
      <c r="C72" s="8" t="s">
        <v>38</v>
      </c>
      <c r="D72" s="76" t="s">
        <v>276</v>
      </c>
      <c r="E72" s="76" t="s">
        <v>165</v>
      </c>
      <c r="F72" s="76" t="s">
        <v>19</v>
      </c>
      <c r="G72" s="76" t="s">
        <v>25</v>
      </c>
      <c r="H72" s="77"/>
      <c r="I72" s="78" t="s">
        <v>75</v>
      </c>
      <c r="J72" s="78" t="s">
        <v>69</v>
      </c>
      <c r="K72" s="103"/>
      <c r="L72" s="166"/>
      <c r="M72" s="105">
        <v>1</v>
      </c>
      <c r="N72" s="169">
        <v>1</v>
      </c>
      <c r="O72" s="129">
        <f>SUM(K72:N72)</f>
        <v>2</v>
      </c>
      <c r="P72" s="75"/>
      <c r="Q72" s="76" t="s">
        <v>39</v>
      </c>
      <c r="R72" s="115"/>
      <c r="S72" s="72"/>
      <c r="T72" s="72"/>
      <c r="U72" s="8"/>
      <c r="V72" s="8"/>
      <c r="W72" s="8"/>
      <c r="X72" s="3" t="s">
        <v>66</v>
      </c>
      <c r="Y72" s="3"/>
      <c r="Z72" s="3"/>
      <c r="AA72" s="3"/>
      <c r="AB72" s="3"/>
      <c r="AC72" s="3"/>
      <c r="AD72" s="3"/>
      <c r="AE72" s="3"/>
      <c r="AF72" s="3"/>
      <c r="AG72" s="3"/>
    </row>
    <row r="73" spans="1:33" ht="27.75" customHeight="1">
      <c r="A73" s="3"/>
      <c r="B73" s="20" t="s">
        <v>66</v>
      </c>
      <c r="C73" s="51" t="s">
        <v>35</v>
      </c>
      <c r="D73" s="76" t="s">
        <v>277</v>
      </c>
      <c r="E73" s="76" t="s">
        <v>27</v>
      </c>
      <c r="F73" s="76" t="s">
        <v>19</v>
      </c>
      <c r="G73" s="76" t="s">
        <v>25</v>
      </c>
      <c r="H73" s="77"/>
      <c r="I73" s="78" t="s">
        <v>44</v>
      </c>
      <c r="J73" s="164" t="s">
        <v>45</v>
      </c>
      <c r="K73" s="81">
        <v>1</v>
      </c>
      <c r="L73" s="81">
        <v>1</v>
      </c>
      <c r="M73" s="81">
        <v>1</v>
      </c>
      <c r="N73" s="83">
        <v>1</v>
      </c>
      <c r="O73" s="158">
        <f>SUM(K73:N73)</f>
        <v>4</v>
      </c>
      <c r="P73" s="75"/>
      <c r="Q73" s="76" t="s">
        <v>39</v>
      </c>
      <c r="R73" s="115"/>
      <c r="S73" s="72"/>
      <c r="T73" s="72"/>
      <c r="U73" s="8"/>
      <c r="V73" s="8"/>
      <c r="W73" s="8"/>
      <c r="X73" s="3"/>
      <c r="Y73" s="3"/>
      <c r="Z73" s="3"/>
      <c r="AA73" s="3"/>
      <c r="AB73" s="3"/>
      <c r="AC73" s="3"/>
      <c r="AD73" s="3"/>
      <c r="AE73" s="3"/>
      <c r="AF73" s="3"/>
      <c r="AG73" s="3"/>
    </row>
    <row r="74" spans="1:33" ht="27.75" customHeight="1">
      <c r="A74" s="3"/>
      <c r="B74" s="7"/>
      <c r="C74" s="8" t="s">
        <v>38</v>
      </c>
      <c r="D74" s="76" t="s">
        <v>278</v>
      </c>
      <c r="E74" s="97" t="s">
        <v>165</v>
      </c>
      <c r="F74" s="76" t="s">
        <v>19</v>
      </c>
      <c r="G74" s="76" t="s">
        <v>25</v>
      </c>
      <c r="H74" s="77"/>
      <c r="I74" s="78" t="s">
        <v>73</v>
      </c>
      <c r="J74" s="78" t="s">
        <v>69</v>
      </c>
      <c r="K74" s="173"/>
      <c r="L74" s="173"/>
      <c r="M74" s="82">
        <v>1</v>
      </c>
      <c r="N74" s="175"/>
      <c r="O74" s="84">
        <f t="shared" si="1"/>
        <v>1</v>
      </c>
      <c r="P74" s="75"/>
      <c r="Q74" s="76" t="s">
        <v>36</v>
      </c>
      <c r="R74" s="114" t="s">
        <v>201</v>
      </c>
      <c r="S74" s="72" t="s">
        <v>66</v>
      </c>
      <c r="T74" s="72"/>
      <c r="U74" s="8"/>
      <c r="V74" s="8"/>
      <c r="W74" s="8"/>
      <c r="X74" s="3"/>
      <c r="Y74" s="3"/>
      <c r="Z74" s="3"/>
      <c r="AA74" s="3"/>
      <c r="AB74" s="3"/>
      <c r="AC74" s="3"/>
      <c r="AD74" s="3"/>
      <c r="AE74" s="3"/>
      <c r="AF74" s="3"/>
      <c r="AG74" s="3"/>
    </row>
    <row r="75" spans="1:33" ht="27.75" customHeight="1">
      <c r="A75" s="3"/>
      <c r="B75" s="7"/>
      <c r="C75" s="8" t="s">
        <v>30</v>
      </c>
      <c r="D75" s="76" t="s">
        <v>279</v>
      </c>
      <c r="E75" s="76" t="s">
        <v>280</v>
      </c>
      <c r="F75" s="76" t="s">
        <v>28</v>
      </c>
      <c r="G75" s="76" t="s">
        <v>25</v>
      </c>
      <c r="H75" s="77"/>
      <c r="I75" s="78" t="s">
        <v>81</v>
      </c>
      <c r="J75" s="78" t="s">
        <v>82</v>
      </c>
      <c r="K75" s="79"/>
      <c r="L75" s="79"/>
      <c r="M75" s="91">
        <v>1</v>
      </c>
      <c r="N75" s="159"/>
      <c r="O75" s="118">
        <f t="shared" si="1"/>
        <v>1</v>
      </c>
      <c r="P75" s="117"/>
      <c r="Q75" s="76" t="s">
        <v>36</v>
      </c>
      <c r="R75" s="114"/>
      <c r="S75" s="72"/>
      <c r="T75" s="72"/>
      <c r="U75" s="8"/>
      <c r="V75" s="8"/>
      <c r="W75" s="8"/>
      <c r="X75" s="3"/>
      <c r="Y75" s="3"/>
      <c r="Z75" s="3"/>
      <c r="AA75" s="3"/>
      <c r="AB75" s="3"/>
      <c r="AC75" s="3"/>
      <c r="AD75" s="3"/>
      <c r="AE75" s="3"/>
      <c r="AF75" s="3"/>
      <c r="AG75" s="3"/>
    </row>
    <row r="76" spans="1:33" ht="27.75" customHeight="1">
      <c r="A76" s="3"/>
      <c r="B76" s="7"/>
      <c r="C76" s="8" t="s">
        <v>30</v>
      </c>
      <c r="D76" s="76" t="s">
        <v>281</v>
      </c>
      <c r="E76" s="76" t="s">
        <v>220</v>
      </c>
      <c r="F76" s="76" t="s">
        <v>19</v>
      </c>
      <c r="G76" s="76" t="s">
        <v>25</v>
      </c>
      <c r="H76" s="77">
        <v>18840</v>
      </c>
      <c r="I76" s="90" t="s">
        <v>181</v>
      </c>
      <c r="J76" s="90" t="s">
        <v>82</v>
      </c>
      <c r="K76" s="93"/>
      <c r="L76" s="107"/>
      <c r="M76" s="81">
        <v>1</v>
      </c>
      <c r="N76" s="160"/>
      <c r="O76" s="118">
        <f t="shared" si="1"/>
        <v>1</v>
      </c>
      <c r="P76" s="117"/>
      <c r="Q76" s="76" t="s">
        <v>36</v>
      </c>
      <c r="R76" s="115"/>
      <c r="S76" s="72"/>
      <c r="T76" s="72"/>
      <c r="U76" s="8"/>
      <c r="V76" s="8"/>
      <c r="W76" s="8"/>
      <c r="X76" s="3"/>
      <c r="Y76" s="3"/>
      <c r="Z76" s="3"/>
      <c r="AA76" s="3"/>
      <c r="AB76" s="3"/>
      <c r="AC76" s="3"/>
      <c r="AD76" s="3"/>
      <c r="AE76" s="3"/>
      <c r="AF76" s="3"/>
      <c r="AG76" s="3"/>
    </row>
    <row r="77" spans="1:33" ht="27.75" customHeight="1">
      <c r="A77" s="3"/>
      <c r="B77" s="7"/>
      <c r="C77" s="51" t="s">
        <v>38</v>
      </c>
      <c r="D77" s="76" t="s">
        <v>282</v>
      </c>
      <c r="E77" s="76" t="s">
        <v>283</v>
      </c>
      <c r="F77" s="76" t="s">
        <v>19</v>
      </c>
      <c r="G77" s="76" t="s">
        <v>25</v>
      </c>
      <c r="H77" s="76"/>
      <c r="I77" s="90" t="s">
        <v>181</v>
      </c>
      <c r="J77" s="90" t="s">
        <v>82</v>
      </c>
      <c r="K77" s="80"/>
      <c r="L77" s="126"/>
      <c r="M77" s="81">
        <v>1</v>
      </c>
      <c r="N77" s="160"/>
      <c r="O77" s="118">
        <f t="shared" si="1"/>
        <v>1</v>
      </c>
      <c r="P77" s="117"/>
      <c r="Q77" s="76" t="s">
        <v>36</v>
      </c>
      <c r="R77" s="114"/>
      <c r="S77" s="72"/>
      <c r="T77" s="72"/>
      <c r="U77" s="8"/>
      <c r="V77" s="8"/>
      <c r="W77" s="8"/>
      <c r="X77" s="3"/>
      <c r="Y77" s="3"/>
      <c r="Z77" s="3"/>
      <c r="AA77" s="3"/>
      <c r="AB77" s="3"/>
      <c r="AC77" s="3"/>
      <c r="AD77" s="3"/>
      <c r="AE77" s="3"/>
      <c r="AF77" s="3"/>
      <c r="AG77" s="3"/>
    </row>
    <row r="78" spans="1:33" ht="27.75" customHeight="1">
      <c r="A78" s="3"/>
      <c r="B78" s="7"/>
      <c r="C78" s="8" t="s">
        <v>30</v>
      </c>
      <c r="D78" s="76" t="s">
        <v>284</v>
      </c>
      <c r="E78" s="76" t="s">
        <v>280</v>
      </c>
      <c r="F78" s="76" t="s">
        <v>19</v>
      </c>
      <c r="G78" s="76" t="s">
        <v>25</v>
      </c>
      <c r="H78" s="76"/>
      <c r="I78" s="90" t="s">
        <v>268</v>
      </c>
      <c r="J78" s="90" t="s">
        <v>82</v>
      </c>
      <c r="K78" s="80"/>
      <c r="L78" s="80"/>
      <c r="M78" s="127"/>
      <c r="N78" s="122">
        <v>1</v>
      </c>
      <c r="O78" s="118">
        <f t="shared" si="1"/>
        <v>1</v>
      </c>
      <c r="P78" s="117"/>
      <c r="Q78" s="76" t="s">
        <v>36</v>
      </c>
      <c r="R78" s="114"/>
      <c r="S78" s="72"/>
      <c r="T78" s="72"/>
      <c r="U78" s="8"/>
      <c r="V78" s="8"/>
      <c r="W78" s="8"/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spans="1:33" ht="27.75" customHeight="1">
      <c r="A79" s="3"/>
      <c r="B79" s="7"/>
      <c r="C79" s="18"/>
      <c r="D79" s="76" t="s">
        <v>285</v>
      </c>
      <c r="E79" s="76">
        <v>360</v>
      </c>
      <c r="F79" s="76" t="s">
        <v>19</v>
      </c>
      <c r="G79" s="76" t="s">
        <v>25</v>
      </c>
      <c r="H79" s="77">
        <v>72450</v>
      </c>
      <c r="I79" s="78" t="s">
        <v>68</v>
      </c>
      <c r="J79" s="78" t="s">
        <v>69</v>
      </c>
      <c r="K79" s="166"/>
      <c r="L79" s="93"/>
      <c r="M79" s="112">
        <v>1</v>
      </c>
      <c r="N79" s="172">
        <v>1</v>
      </c>
      <c r="O79" s="130">
        <f t="shared" ref="O79:O84" si="3">SUM(K79:N79)</f>
        <v>2</v>
      </c>
      <c r="P79" s="117" t="s">
        <v>286</v>
      </c>
      <c r="Q79" s="76" t="s">
        <v>36</v>
      </c>
      <c r="R79" s="115" t="s">
        <v>287</v>
      </c>
      <c r="S79" s="72"/>
      <c r="T79" s="72"/>
      <c r="U79" s="8"/>
      <c r="V79" s="8"/>
      <c r="W79" s="8"/>
      <c r="X79" s="3"/>
      <c r="Y79" s="3"/>
      <c r="Z79" s="3"/>
      <c r="AA79" s="3"/>
      <c r="AB79" s="3"/>
      <c r="AC79" s="3"/>
      <c r="AD79" s="3"/>
      <c r="AE79" s="3"/>
      <c r="AF79" s="3"/>
      <c r="AG79" s="3"/>
    </row>
    <row r="80" spans="1:33" ht="27.75" customHeight="1">
      <c r="A80" s="3"/>
      <c r="B80" s="7"/>
      <c r="C80" s="18"/>
      <c r="D80" s="76" t="s">
        <v>288</v>
      </c>
      <c r="E80" s="76" t="s">
        <v>27</v>
      </c>
      <c r="F80" s="76" t="s">
        <v>19</v>
      </c>
      <c r="G80" s="76" t="s">
        <v>20</v>
      </c>
      <c r="H80" s="77"/>
      <c r="I80" s="78" t="s">
        <v>81</v>
      </c>
      <c r="J80" s="164" t="s">
        <v>82</v>
      </c>
      <c r="K80" s="81">
        <v>1</v>
      </c>
      <c r="L80" s="79"/>
      <c r="M80" s="104">
        <v>1</v>
      </c>
      <c r="N80" s="80"/>
      <c r="O80" s="161">
        <f t="shared" si="3"/>
        <v>2</v>
      </c>
      <c r="P80" s="117"/>
      <c r="Q80" s="76" t="s">
        <v>36</v>
      </c>
      <c r="R80" s="115" t="s">
        <v>289</v>
      </c>
      <c r="S80" s="72"/>
      <c r="T80" s="72"/>
      <c r="U80" s="8"/>
      <c r="V80" s="8"/>
      <c r="W80" s="8"/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spans="1:33" ht="27.75" customHeight="1">
      <c r="A81" s="3"/>
      <c r="B81" s="7"/>
      <c r="C81" s="18"/>
      <c r="D81" s="76" t="s">
        <v>290</v>
      </c>
      <c r="E81" s="76" t="s">
        <v>27</v>
      </c>
      <c r="F81" s="76" t="s">
        <v>19</v>
      </c>
      <c r="G81" s="76" t="s">
        <v>32</v>
      </c>
      <c r="H81" s="77"/>
      <c r="I81" s="90" t="s">
        <v>181</v>
      </c>
      <c r="J81" s="165" t="s">
        <v>82</v>
      </c>
      <c r="K81" s="81">
        <v>1</v>
      </c>
      <c r="L81" s="81">
        <v>1</v>
      </c>
      <c r="M81" s="79"/>
      <c r="N81" s="80"/>
      <c r="O81" s="161">
        <f t="shared" si="3"/>
        <v>2</v>
      </c>
      <c r="P81" s="117"/>
      <c r="Q81" s="76" t="s">
        <v>36</v>
      </c>
      <c r="R81" s="115"/>
      <c r="S81" s="72"/>
      <c r="T81" s="72"/>
      <c r="U81" s="8"/>
      <c r="V81" s="8"/>
      <c r="W81" s="8"/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spans="1:33" ht="27.75" customHeight="1">
      <c r="A82" s="3"/>
      <c r="B82" s="7"/>
      <c r="C82" s="18"/>
      <c r="D82" s="76" t="s">
        <v>291</v>
      </c>
      <c r="E82" s="76" t="s">
        <v>292</v>
      </c>
      <c r="F82" s="76" t="s">
        <v>28</v>
      </c>
      <c r="G82" s="76" t="s">
        <v>25</v>
      </c>
      <c r="H82" s="77"/>
      <c r="I82" s="78" t="s">
        <v>81</v>
      </c>
      <c r="J82" s="78" t="s">
        <v>82</v>
      </c>
      <c r="K82" s="173"/>
      <c r="L82" s="87"/>
      <c r="M82" s="88">
        <v>1</v>
      </c>
      <c r="N82" s="182">
        <v>1</v>
      </c>
      <c r="O82" s="130">
        <f t="shared" si="3"/>
        <v>2</v>
      </c>
      <c r="P82" s="117" t="s">
        <v>163</v>
      </c>
      <c r="Q82" s="76" t="s">
        <v>36</v>
      </c>
      <c r="R82" s="115"/>
      <c r="S82" s="72"/>
      <c r="T82" s="72"/>
      <c r="U82" s="8"/>
      <c r="V82" s="8"/>
      <c r="W82" s="8"/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3" spans="1:33" ht="27.75" customHeight="1">
      <c r="A83" s="3"/>
      <c r="B83" s="7"/>
      <c r="C83" s="18"/>
      <c r="D83" s="76" t="s">
        <v>293</v>
      </c>
      <c r="E83" s="76" t="s">
        <v>87</v>
      </c>
      <c r="F83" s="76" t="s">
        <v>28</v>
      </c>
      <c r="G83" s="76" t="s">
        <v>25</v>
      </c>
      <c r="H83" s="76"/>
      <c r="I83" s="90" t="s">
        <v>181</v>
      </c>
      <c r="J83" s="90" t="s">
        <v>82</v>
      </c>
      <c r="K83" s="88">
        <v>1</v>
      </c>
      <c r="L83" s="113"/>
      <c r="M83" s="88">
        <v>1</v>
      </c>
      <c r="N83" s="160"/>
      <c r="O83" s="161">
        <f t="shared" si="3"/>
        <v>2</v>
      </c>
      <c r="P83" s="117"/>
      <c r="Q83" s="76" t="s">
        <v>36</v>
      </c>
      <c r="R83" s="115"/>
      <c r="S83" s="72"/>
      <c r="T83" s="72"/>
      <c r="U83" s="8"/>
      <c r="V83" s="8"/>
      <c r="W83" s="8"/>
      <c r="X83" s="3"/>
      <c r="Y83" s="3"/>
      <c r="Z83" s="3"/>
      <c r="AA83" s="3"/>
      <c r="AB83" s="3"/>
      <c r="AC83" s="3"/>
      <c r="AD83" s="3"/>
      <c r="AE83" s="3"/>
      <c r="AF83" s="3"/>
      <c r="AG83" s="3"/>
    </row>
    <row r="84" spans="1:33" ht="27.75" customHeight="1">
      <c r="A84" s="3"/>
      <c r="B84" s="7"/>
      <c r="C84" s="18"/>
      <c r="D84" s="76" t="s">
        <v>294</v>
      </c>
      <c r="E84" s="76" t="s">
        <v>87</v>
      </c>
      <c r="F84" s="76" t="s">
        <v>28</v>
      </c>
      <c r="G84" s="76" t="s">
        <v>32</v>
      </c>
      <c r="H84" s="76"/>
      <c r="I84" s="90" t="s">
        <v>181</v>
      </c>
      <c r="J84" s="90" t="s">
        <v>82</v>
      </c>
      <c r="K84" s="88">
        <v>1</v>
      </c>
      <c r="L84" s="88">
        <v>1</v>
      </c>
      <c r="M84" s="113"/>
      <c r="N84" s="160"/>
      <c r="O84" s="161">
        <f t="shared" si="3"/>
        <v>2</v>
      </c>
      <c r="P84" s="117"/>
      <c r="Q84" s="76" t="s">
        <v>36</v>
      </c>
      <c r="R84" s="115"/>
      <c r="S84" s="72"/>
      <c r="T84" s="72"/>
      <c r="U84" s="8"/>
      <c r="V84" s="8"/>
      <c r="W84" s="8"/>
      <c r="X84" s="3"/>
      <c r="Y84" s="3"/>
      <c r="Z84" s="3"/>
      <c r="AA84" s="3"/>
      <c r="AB84" s="3"/>
      <c r="AC84" s="3"/>
      <c r="AD84" s="3"/>
      <c r="AE84" s="3"/>
      <c r="AF84" s="3"/>
      <c r="AG84" s="3"/>
    </row>
    <row r="85" spans="1:33" ht="27.75" customHeight="1">
      <c r="A85" s="3"/>
      <c r="B85" s="7"/>
      <c r="C85" s="18"/>
      <c r="D85" s="76" t="s">
        <v>295</v>
      </c>
      <c r="E85" s="76" t="s">
        <v>296</v>
      </c>
      <c r="F85" s="76" t="s">
        <v>28</v>
      </c>
      <c r="G85" s="76" t="s">
        <v>25</v>
      </c>
      <c r="H85" s="76"/>
      <c r="I85" s="90" t="s">
        <v>268</v>
      </c>
      <c r="J85" s="90" t="s">
        <v>82</v>
      </c>
      <c r="K85" s="88">
        <v>1</v>
      </c>
      <c r="L85" s="113"/>
      <c r="M85" s="113"/>
      <c r="N85" s="160"/>
      <c r="O85" s="118">
        <f t="shared" ref="O85" si="4">SUM(K85:N85)</f>
        <v>1</v>
      </c>
      <c r="P85" s="117"/>
      <c r="Q85" s="76" t="s">
        <v>39</v>
      </c>
      <c r="R85" s="115"/>
      <c r="S85" s="72"/>
      <c r="T85" s="72"/>
      <c r="U85" s="8"/>
      <c r="V85" s="8"/>
      <c r="W85" s="8"/>
      <c r="X85" s="3"/>
      <c r="Y85" s="3"/>
      <c r="Z85" s="3"/>
      <c r="AA85" s="3"/>
      <c r="AB85" s="3"/>
      <c r="AC85" s="3"/>
      <c r="AD85" s="3"/>
      <c r="AE85" s="3"/>
      <c r="AF85" s="3"/>
      <c r="AG85" s="3"/>
    </row>
    <row r="86" spans="1:33" ht="27.75" customHeight="1">
      <c r="A86" s="3"/>
      <c r="B86" s="7"/>
      <c r="C86" s="18"/>
      <c r="D86" s="76" t="s">
        <v>297</v>
      </c>
      <c r="E86" s="76">
        <v>360</v>
      </c>
      <c r="F86" s="76" t="s">
        <v>19</v>
      </c>
      <c r="G86" s="76" t="s">
        <v>25</v>
      </c>
      <c r="H86" s="76"/>
      <c r="I86" s="90" t="s">
        <v>268</v>
      </c>
      <c r="J86" s="90" t="s">
        <v>82</v>
      </c>
      <c r="K86" s="113"/>
      <c r="L86" s="113"/>
      <c r="M86" s="88">
        <v>1</v>
      </c>
      <c r="N86" s="160"/>
      <c r="O86" s="118">
        <f t="shared" ref="O86" si="5">SUM(K86:N86)</f>
        <v>1</v>
      </c>
      <c r="P86" s="117"/>
      <c r="Q86" s="76" t="s">
        <v>39</v>
      </c>
      <c r="R86" s="115"/>
      <c r="S86" s="72"/>
      <c r="T86" s="72"/>
      <c r="U86" s="8"/>
      <c r="V86" s="8"/>
      <c r="W86" s="8"/>
      <c r="X86" s="3"/>
      <c r="Y86" s="3"/>
      <c r="Z86" s="3"/>
      <c r="AA86" s="3"/>
      <c r="AB86" s="3"/>
      <c r="AC86" s="3"/>
      <c r="AD86" s="3"/>
      <c r="AE86" s="3"/>
      <c r="AF86" s="3"/>
      <c r="AG86" s="3"/>
    </row>
    <row r="87" spans="1:33" ht="27.75" customHeight="1">
      <c r="A87" s="3"/>
      <c r="B87" s="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3"/>
      <c r="P87" s="13"/>
      <c r="Q87" s="13"/>
      <c r="R87" s="13"/>
      <c r="S87" s="13"/>
      <c r="T87" s="13"/>
      <c r="U87" s="13"/>
      <c r="V87" s="13"/>
      <c r="W87" s="13"/>
      <c r="X87" s="3"/>
      <c r="Y87" s="3"/>
      <c r="Z87" s="3"/>
      <c r="AA87" s="3"/>
      <c r="AB87" s="3"/>
      <c r="AC87" s="3"/>
      <c r="AD87" s="3"/>
      <c r="AE87" s="3"/>
      <c r="AF87" s="3"/>
      <c r="AG87" s="3"/>
    </row>
    <row r="88" spans="1:33" ht="27.75" customHeight="1">
      <c r="A88" s="3"/>
      <c r="B88" s="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3"/>
      <c r="P88" s="13"/>
      <c r="Q88" s="13"/>
      <c r="R88" s="13"/>
      <c r="S88" s="13"/>
      <c r="T88" s="13"/>
      <c r="U88" s="13"/>
      <c r="V88" s="13"/>
      <c r="W88" s="13"/>
      <c r="X88" s="3"/>
      <c r="Y88" s="3"/>
      <c r="Z88" s="3"/>
      <c r="AA88" s="3"/>
      <c r="AB88" s="3"/>
      <c r="AC88" s="3"/>
      <c r="AD88" s="3"/>
      <c r="AE88" s="3"/>
      <c r="AF88" s="3"/>
      <c r="AG88" s="3"/>
    </row>
    <row r="89" spans="1:33" ht="27.75" customHeight="1">
      <c r="A89" s="3"/>
      <c r="B89" s="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3"/>
      <c r="P89" s="13"/>
      <c r="Q89" s="13"/>
      <c r="R89" s="13"/>
      <c r="S89" s="13"/>
      <c r="T89" s="13"/>
      <c r="U89" s="13"/>
      <c r="V89" s="13"/>
      <c r="W89" s="13"/>
      <c r="X89" s="3"/>
      <c r="Y89" s="3"/>
      <c r="Z89" s="3"/>
      <c r="AA89" s="3"/>
      <c r="AB89" s="3"/>
      <c r="AC89" s="3"/>
      <c r="AD89" s="3"/>
      <c r="AE89" s="3"/>
      <c r="AF89" s="3"/>
      <c r="AG89" s="3"/>
    </row>
    <row r="90" spans="1:33" ht="27.75" customHeight="1">
      <c r="A90" s="3"/>
      <c r="B90" s="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3"/>
      <c r="P90" s="13"/>
      <c r="Q90" s="13"/>
      <c r="R90" s="13"/>
      <c r="S90" s="13"/>
      <c r="T90" s="13"/>
      <c r="U90" s="13"/>
      <c r="V90" s="13"/>
      <c r="W90" s="13"/>
      <c r="X90" s="3"/>
      <c r="Y90" s="3"/>
      <c r="Z90" s="3"/>
      <c r="AA90" s="3"/>
      <c r="AB90" s="3"/>
      <c r="AC90" s="3"/>
      <c r="AD90" s="3"/>
      <c r="AE90" s="3"/>
      <c r="AF90" s="3"/>
      <c r="AG90" s="3"/>
    </row>
    <row r="91" spans="1:33" ht="27.75" customHeight="1">
      <c r="A91" s="3"/>
      <c r="B91" s="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3"/>
      <c r="P91" s="13"/>
      <c r="Q91" s="13"/>
      <c r="R91" s="13"/>
      <c r="S91" s="13"/>
      <c r="T91" s="13"/>
      <c r="U91" s="13"/>
      <c r="V91" s="13"/>
      <c r="W91" s="13"/>
      <c r="X91" s="3"/>
      <c r="Y91" s="3"/>
      <c r="Z91" s="3"/>
      <c r="AA91" s="3"/>
      <c r="AB91" s="3"/>
      <c r="AC91" s="3"/>
      <c r="AD91" s="3"/>
      <c r="AE91" s="3"/>
      <c r="AF91" s="3"/>
      <c r="AG91" s="3"/>
    </row>
    <row r="92" spans="1:33" ht="27.75" customHeight="1">
      <c r="A92" s="3"/>
      <c r="B92" s="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3"/>
      <c r="P92" s="13"/>
      <c r="Q92" s="13"/>
      <c r="R92" s="13"/>
      <c r="S92" s="13"/>
      <c r="T92" s="13"/>
      <c r="U92" s="13"/>
      <c r="V92" s="13"/>
      <c r="W92" s="13"/>
      <c r="X92" s="3"/>
      <c r="Y92" s="3"/>
      <c r="Z92" s="3"/>
      <c r="AA92" s="3"/>
      <c r="AB92" s="3"/>
      <c r="AC92" s="3"/>
      <c r="AD92" s="3"/>
      <c r="AE92" s="3"/>
      <c r="AF92" s="3"/>
      <c r="AG92" s="3"/>
    </row>
    <row r="93" spans="1:33" ht="27.75" customHeight="1">
      <c r="A93" s="3"/>
      <c r="B93" s="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3"/>
      <c r="P93" s="13"/>
      <c r="Q93" s="13"/>
      <c r="R93" s="13"/>
      <c r="S93" s="13"/>
      <c r="T93" s="13"/>
      <c r="U93" s="13"/>
      <c r="V93" s="13"/>
      <c r="W93" s="13"/>
      <c r="X93" s="3"/>
      <c r="Y93" s="3"/>
      <c r="Z93" s="3"/>
      <c r="AA93" s="3"/>
      <c r="AB93" s="3"/>
      <c r="AC93" s="3"/>
      <c r="AD93" s="3"/>
      <c r="AE93" s="3"/>
      <c r="AF93" s="3"/>
      <c r="AG93" s="3"/>
    </row>
    <row r="94" spans="1:33" ht="27.75" customHeight="1">
      <c r="A94" s="3"/>
      <c r="B94" s="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3"/>
      <c r="P94" s="13"/>
      <c r="Q94" s="13"/>
      <c r="R94" s="13"/>
      <c r="S94" s="13"/>
      <c r="T94" s="13"/>
      <c r="U94" s="13"/>
      <c r="V94" s="13"/>
      <c r="W94" s="13"/>
      <c r="X94" s="3"/>
      <c r="Y94" s="3"/>
      <c r="Z94" s="3"/>
      <c r="AA94" s="3"/>
      <c r="AB94" s="3"/>
      <c r="AC94" s="3"/>
      <c r="AD94" s="3"/>
      <c r="AE94" s="3"/>
      <c r="AF94" s="3"/>
      <c r="AG94" s="3"/>
    </row>
    <row r="95" spans="1:33" ht="27.75" customHeight="1">
      <c r="A95" s="3"/>
      <c r="B95" s="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3"/>
      <c r="P95" s="13"/>
      <c r="Q95" s="13"/>
      <c r="R95" s="13"/>
      <c r="S95" s="13"/>
      <c r="T95" s="13"/>
      <c r="U95" s="13"/>
      <c r="V95" s="13"/>
      <c r="W95" s="13"/>
      <c r="X95" s="3"/>
      <c r="Y95" s="3"/>
      <c r="Z95" s="3"/>
      <c r="AA95" s="3"/>
      <c r="AB95" s="3"/>
      <c r="AC95" s="3"/>
      <c r="AD95" s="3"/>
      <c r="AE95" s="3"/>
      <c r="AF95" s="3"/>
      <c r="AG95" s="3"/>
    </row>
    <row r="96" spans="1:33" ht="27.75" customHeight="1">
      <c r="A96" s="3"/>
      <c r="B96" s="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3"/>
      <c r="P96" s="13"/>
      <c r="Q96" s="13"/>
      <c r="R96" s="13"/>
      <c r="S96" s="13"/>
      <c r="T96" s="13"/>
      <c r="U96" s="13"/>
      <c r="V96" s="13"/>
      <c r="W96" s="13"/>
      <c r="X96" s="3"/>
      <c r="Y96" s="3"/>
      <c r="Z96" s="3"/>
      <c r="AA96" s="3"/>
      <c r="AB96" s="3"/>
      <c r="AC96" s="3"/>
      <c r="AD96" s="3"/>
      <c r="AE96" s="3"/>
      <c r="AF96" s="3"/>
      <c r="AG96" s="3"/>
    </row>
    <row r="97" spans="1:33" ht="27.75" customHeight="1">
      <c r="A97" s="3"/>
      <c r="B97" s="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3"/>
      <c r="P97" s="13"/>
      <c r="Q97" s="13"/>
      <c r="R97" s="13"/>
      <c r="S97" s="13"/>
      <c r="T97" s="13"/>
      <c r="U97" s="13"/>
      <c r="V97" s="13"/>
      <c r="W97" s="13"/>
      <c r="X97" s="3"/>
      <c r="Y97" s="3"/>
      <c r="Z97" s="3"/>
      <c r="AA97" s="3"/>
      <c r="AB97" s="3"/>
      <c r="AC97" s="3"/>
      <c r="AD97" s="3"/>
      <c r="AE97" s="3"/>
      <c r="AF97" s="3"/>
      <c r="AG97" s="3"/>
    </row>
    <row r="98" spans="1:33" ht="27.75" customHeight="1">
      <c r="A98" s="3"/>
      <c r="B98" s="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3"/>
      <c r="P98" s="13"/>
      <c r="Q98" s="13"/>
      <c r="R98" s="13"/>
      <c r="S98" s="13"/>
      <c r="T98" s="13"/>
      <c r="U98" s="13"/>
      <c r="V98" s="13"/>
      <c r="W98" s="13"/>
      <c r="X98" s="3"/>
      <c r="Y98" s="3"/>
      <c r="Z98" s="3"/>
      <c r="AA98" s="3"/>
      <c r="AB98" s="3"/>
      <c r="AC98" s="3"/>
      <c r="AD98" s="3"/>
      <c r="AE98" s="3"/>
      <c r="AF98" s="3"/>
      <c r="AG98" s="3"/>
    </row>
    <row r="99" spans="1:33" ht="27.75" customHeight="1">
      <c r="A99" s="3"/>
      <c r="B99" s="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3"/>
      <c r="P99" s="13"/>
      <c r="Q99" s="13"/>
      <c r="R99" s="13"/>
      <c r="S99" s="13"/>
      <c r="T99" s="13"/>
      <c r="U99" s="13"/>
      <c r="V99" s="13"/>
      <c r="W99" s="13"/>
      <c r="X99" s="3"/>
      <c r="Y99" s="3"/>
      <c r="Z99" s="3"/>
      <c r="AA99" s="3"/>
      <c r="AB99" s="3"/>
      <c r="AC99" s="3"/>
      <c r="AD99" s="3"/>
      <c r="AE99" s="3"/>
      <c r="AF99" s="3"/>
      <c r="AG99" s="3"/>
    </row>
    <row r="100" spans="1:33" ht="27.75" customHeight="1">
      <c r="A100" s="3"/>
      <c r="B100" s="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3"/>
      <c r="P100" s="13"/>
      <c r="Q100" s="13"/>
      <c r="R100" s="13"/>
      <c r="S100" s="13"/>
      <c r="T100" s="13"/>
      <c r="U100" s="13"/>
      <c r="V100" s="13"/>
      <c r="W100" s="13"/>
      <c r="X100" s="3"/>
      <c r="Y100" s="3"/>
      <c r="Z100" s="3"/>
      <c r="AA100" s="3"/>
      <c r="AB100" s="3"/>
      <c r="AC100" s="3"/>
      <c r="AD100" s="3"/>
      <c r="AE100" s="3"/>
      <c r="AF100" s="3"/>
      <c r="AG100" s="3"/>
    </row>
    <row r="101" spans="1:33" ht="27.75" customHeight="1">
      <c r="A101" s="3"/>
      <c r="B101" s="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3"/>
      <c r="P101" s="13"/>
      <c r="Q101" s="13"/>
      <c r="R101" s="13"/>
      <c r="S101" s="13"/>
      <c r="T101" s="13"/>
      <c r="U101" s="13"/>
      <c r="V101" s="13"/>
      <c r="W101" s="13"/>
      <c r="X101" s="3"/>
      <c r="Y101" s="3"/>
      <c r="Z101" s="3"/>
      <c r="AA101" s="3"/>
      <c r="AB101" s="3"/>
      <c r="AC101" s="3"/>
      <c r="AD101" s="3"/>
      <c r="AE101" s="3"/>
      <c r="AF101" s="3"/>
      <c r="AG101" s="3"/>
    </row>
    <row r="102" spans="1:33" ht="27.75" customHeight="1">
      <c r="A102" s="3"/>
      <c r="B102" s="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3"/>
      <c r="P102" s="13"/>
      <c r="Q102" s="13"/>
      <c r="R102" s="13"/>
      <c r="S102" s="13"/>
      <c r="T102" s="13"/>
      <c r="U102" s="13"/>
      <c r="V102" s="13"/>
      <c r="W102" s="13"/>
      <c r="X102" s="3"/>
      <c r="Y102" s="3"/>
      <c r="Z102" s="3"/>
      <c r="AA102" s="3"/>
      <c r="AB102" s="3"/>
      <c r="AC102" s="3"/>
      <c r="AD102" s="3"/>
      <c r="AE102" s="3"/>
      <c r="AF102" s="3"/>
      <c r="AG102" s="3"/>
    </row>
    <row r="103" spans="1:33" ht="27.75" customHeight="1">
      <c r="A103" s="3"/>
      <c r="B103" s="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3"/>
      <c r="P103" s="13"/>
      <c r="Q103" s="13"/>
      <c r="R103" s="13"/>
      <c r="S103" s="13"/>
      <c r="T103" s="13"/>
      <c r="U103" s="13"/>
      <c r="V103" s="13"/>
      <c r="W103" s="13"/>
      <c r="X103" s="3"/>
      <c r="Y103" s="3"/>
      <c r="Z103" s="3"/>
      <c r="AA103" s="3"/>
      <c r="AB103" s="3"/>
      <c r="AC103" s="3"/>
      <c r="AD103" s="3"/>
      <c r="AE103" s="3"/>
      <c r="AF103" s="3"/>
      <c r="AG103" s="3"/>
    </row>
    <row r="104" spans="1:33" ht="27.75" customHeight="1">
      <c r="A104" s="3"/>
      <c r="B104" s="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3"/>
      <c r="P104" s="13"/>
      <c r="Q104" s="13"/>
      <c r="R104" s="13"/>
      <c r="S104" s="13"/>
      <c r="T104" s="13"/>
      <c r="U104" s="13"/>
      <c r="V104" s="13"/>
      <c r="W104" s="13"/>
      <c r="X104" s="3"/>
      <c r="Y104" s="3"/>
      <c r="Z104" s="3"/>
      <c r="AA104" s="3"/>
      <c r="AB104" s="3"/>
      <c r="AC104" s="3"/>
      <c r="AD104" s="3"/>
      <c r="AE104" s="3"/>
      <c r="AF104" s="3"/>
      <c r="AG104" s="3"/>
    </row>
    <row r="105" spans="1:33" ht="27.75" customHeight="1">
      <c r="A105" s="3"/>
      <c r="B105" s="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3"/>
      <c r="P105" s="13"/>
      <c r="Q105" s="13"/>
      <c r="R105" s="13"/>
      <c r="S105" s="13"/>
      <c r="T105" s="13"/>
      <c r="U105" s="13"/>
      <c r="V105" s="13"/>
      <c r="W105" s="13"/>
      <c r="X105" s="3"/>
      <c r="Y105" s="3"/>
      <c r="Z105" s="3"/>
      <c r="AA105" s="3"/>
      <c r="AB105" s="3"/>
      <c r="AC105" s="3"/>
      <c r="AD105" s="3"/>
      <c r="AE105" s="3"/>
      <c r="AF105" s="3"/>
      <c r="AG105" s="3"/>
    </row>
    <row r="106" spans="1:33" ht="27.75" customHeight="1">
      <c r="A106" s="3"/>
      <c r="B106" s="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3"/>
      <c r="P106" s="13"/>
      <c r="Q106" s="13"/>
      <c r="R106" s="13"/>
      <c r="S106" s="13"/>
      <c r="T106" s="13"/>
      <c r="U106" s="13"/>
      <c r="V106" s="13"/>
      <c r="W106" s="13"/>
      <c r="X106" s="3"/>
      <c r="Y106" s="3"/>
      <c r="Z106" s="3"/>
      <c r="AA106" s="3"/>
      <c r="AB106" s="3"/>
      <c r="AC106" s="3"/>
      <c r="AD106" s="3"/>
      <c r="AE106" s="3"/>
      <c r="AF106" s="3"/>
      <c r="AG106" s="3"/>
    </row>
    <row r="107" spans="1:33" ht="27.75" customHeight="1">
      <c r="A107" s="3"/>
      <c r="B107" s="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3"/>
      <c r="P107" s="13"/>
      <c r="Q107" s="13"/>
      <c r="R107" s="13"/>
      <c r="S107" s="13"/>
      <c r="T107" s="13"/>
      <c r="U107" s="13"/>
      <c r="V107" s="13"/>
      <c r="W107" s="13"/>
      <c r="X107" s="3"/>
      <c r="Y107" s="3"/>
      <c r="Z107" s="3"/>
      <c r="AA107" s="3"/>
      <c r="AB107" s="3"/>
      <c r="AC107" s="3"/>
      <c r="AD107" s="3"/>
      <c r="AE107" s="3"/>
      <c r="AF107" s="3"/>
      <c r="AG107" s="3"/>
    </row>
    <row r="108" spans="1:33" ht="27.75" customHeight="1">
      <c r="A108" s="3"/>
      <c r="B108" s="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3"/>
      <c r="P108" s="13"/>
      <c r="Q108" s="13"/>
      <c r="R108" s="13"/>
      <c r="S108" s="13"/>
      <c r="T108" s="13"/>
      <c r="U108" s="13"/>
      <c r="V108" s="13"/>
      <c r="W108" s="13"/>
      <c r="X108" s="3"/>
      <c r="Y108" s="3"/>
      <c r="Z108" s="3"/>
      <c r="AA108" s="3"/>
      <c r="AB108" s="3"/>
      <c r="AC108" s="3"/>
      <c r="AD108" s="3"/>
      <c r="AE108" s="3"/>
      <c r="AF108" s="3"/>
      <c r="AG108" s="3"/>
    </row>
    <row r="109" spans="1:33" ht="27.75" customHeight="1">
      <c r="A109" s="3"/>
      <c r="B109" s="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3"/>
      <c r="P109" s="13"/>
      <c r="Q109" s="13"/>
      <c r="R109" s="13"/>
      <c r="S109" s="13"/>
      <c r="T109" s="13"/>
      <c r="U109" s="13"/>
      <c r="V109" s="13"/>
      <c r="W109" s="13"/>
      <c r="X109" s="3"/>
      <c r="Y109" s="3"/>
      <c r="Z109" s="3"/>
      <c r="AA109" s="3"/>
      <c r="AB109" s="3"/>
      <c r="AC109" s="3"/>
      <c r="AD109" s="3"/>
      <c r="AE109" s="3"/>
      <c r="AF109" s="3"/>
      <c r="AG109" s="3"/>
    </row>
    <row r="110" spans="1:33" ht="27.75" customHeight="1">
      <c r="A110" s="3"/>
      <c r="B110" s="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3"/>
      <c r="P110" s="13"/>
      <c r="Q110" s="13"/>
      <c r="R110" s="13"/>
      <c r="S110" s="13"/>
      <c r="T110" s="13"/>
      <c r="U110" s="13"/>
      <c r="V110" s="13"/>
      <c r="W110" s="13"/>
      <c r="X110" s="3"/>
      <c r="Y110" s="3"/>
      <c r="Z110" s="3"/>
      <c r="AA110" s="3"/>
      <c r="AB110" s="3"/>
      <c r="AC110" s="3"/>
      <c r="AD110" s="3"/>
      <c r="AE110" s="3"/>
      <c r="AF110" s="3"/>
      <c r="AG110" s="3"/>
    </row>
    <row r="111" spans="1:33" ht="27.75" customHeight="1">
      <c r="A111" s="3"/>
      <c r="B111" s="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3"/>
      <c r="P111" s="13"/>
      <c r="Q111" s="13"/>
      <c r="R111" s="13"/>
      <c r="S111" s="13"/>
      <c r="T111" s="13"/>
      <c r="U111" s="13"/>
      <c r="V111" s="13"/>
      <c r="W111" s="13"/>
      <c r="X111" s="3"/>
      <c r="Y111" s="3"/>
      <c r="Z111" s="3"/>
      <c r="AA111" s="3"/>
      <c r="AB111" s="3"/>
      <c r="AC111" s="3"/>
      <c r="AD111" s="3"/>
      <c r="AE111" s="3"/>
      <c r="AF111" s="3"/>
      <c r="AG111" s="3"/>
    </row>
    <row r="112" spans="1:33" ht="27.75" customHeight="1">
      <c r="A112" s="3"/>
      <c r="B112" s="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3"/>
      <c r="P112" s="13"/>
      <c r="Q112" s="13"/>
      <c r="R112" s="13"/>
      <c r="S112" s="13"/>
      <c r="T112" s="13"/>
      <c r="U112" s="13"/>
      <c r="V112" s="13"/>
      <c r="W112" s="13"/>
      <c r="X112" s="3"/>
      <c r="Y112" s="3"/>
      <c r="Z112" s="3"/>
      <c r="AA112" s="3"/>
      <c r="AB112" s="3"/>
      <c r="AC112" s="3"/>
      <c r="AD112" s="3"/>
      <c r="AE112" s="3"/>
      <c r="AF112" s="3"/>
      <c r="AG112" s="3"/>
    </row>
    <row r="113" spans="1:33" ht="27.75" customHeight="1">
      <c r="A113" s="3"/>
      <c r="B113" s="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3"/>
      <c r="P113" s="13"/>
      <c r="Q113" s="13"/>
      <c r="R113" s="13"/>
      <c r="S113" s="13"/>
      <c r="T113" s="13"/>
      <c r="U113" s="13"/>
      <c r="V113" s="13"/>
      <c r="W113" s="13"/>
      <c r="X113" s="3"/>
      <c r="Y113" s="3"/>
      <c r="Z113" s="3"/>
      <c r="AA113" s="3"/>
      <c r="AB113" s="3"/>
      <c r="AC113" s="3"/>
      <c r="AD113" s="3"/>
      <c r="AE113" s="3"/>
      <c r="AF113" s="3"/>
      <c r="AG113" s="3"/>
    </row>
    <row r="114" spans="1:33" ht="27.75" customHeight="1">
      <c r="A114" s="3"/>
      <c r="B114" s="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3"/>
      <c r="P114" s="13"/>
      <c r="Q114" s="13"/>
      <c r="R114" s="13"/>
      <c r="S114" s="13"/>
      <c r="T114" s="13"/>
      <c r="U114" s="13"/>
      <c r="V114" s="13"/>
      <c r="W114" s="13"/>
      <c r="X114" s="3"/>
      <c r="Y114" s="3"/>
      <c r="Z114" s="3"/>
      <c r="AA114" s="3"/>
      <c r="AB114" s="3"/>
      <c r="AC114" s="3"/>
      <c r="AD114" s="3"/>
      <c r="AE114" s="3"/>
      <c r="AF114" s="3"/>
      <c r="AG114" s="3"/>
    </row>
    <row r="115" spans="1:33" ht="27.75" customHeight="1">
      <c r="A115" s="3"/>
      <c r="B115" s="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3"/>
      <c r="P115" s="13"/>
      <c r="Q115" s="13"/>
      <c r="R115" s="13"/>
      <c r="S115" s="13"/>
      <c r="T115" s="13"/>
      <c r="U115" s="13"/>
      <c r="V115" s="13"/>
      <c r="W115" s="13"/>
      <c r="X115" s="3"/>
      <c r="Y115" s="3"/>
      <c r="Z115" s="3"/>
      <c r="AA115" s="3"/>
      <c r="AB115" s="3"/>
      <c r="AC115" s="3"/>
      <c r="AD115" s="3"/>
      <c r="AE115" s="3"/>
      <c r="AF115" s="3"/>
      <c r="AG115" s="3"/>
    </row>
    <row r="116" spans="1:33" ht="27.75" customHeight="1">
      <c r="A116" s="3"/>
      <c r="B116" s="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3"/>
      <c r="P116" s="13"/>
      <c r="Q116" s="13"/>
      <c r="R116" s="13"/>
      <c r="S116" s="13"/>
      <c r="T116" s="13"/>
      <c r="U116" s="13"/>
      <c r="V116" s="13"/>
      <c r="W116" s="13"/>
      <c r="X116" s="3"/>
      <c r="Y116" s="3"/>
      <c r="Z116" s="3"/>
      <c r="AA116" s="3"/>
      <c r="AB116" s="3"/>
      <c r="AC116" s="3"/>
      <c r="AD116" s="3"/>
      <c r="AE116" s="3"/>
      <c r="AF116" s="3"/>
      <c r="AG116" s="3"/>
    </row>
    <row r="117" spans="1:33" ht="27.75" customHeight="1">
      <c r="A117" s="3"/>
      <c r="B117" s="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3"/>
      <c r="P117" s="13"/>
      <c r="Q117" s="13"/>
      <c r="R117" s="13"/>
      <c r="S117" s="13"/>
      <c r="T117" s="13"/>
      <c r="U117" s="13"/>
      <c r="V117" s="13"/>
      <c r="W117" s="13"/>
      <c r="X117" s="3"/>
      <c r="Y117" s="3"/>
      <c r="Z117" s="3"/>
      <c r="AA117" s="3"/>
      <c r="AB117" s="3"/>
      <c r="AC117" s="3"/>
      <c r="AD117" s="3"/>
      <c r="AE117" s="3"/>
      <c r="AF117" s="3"/>
      <c r="AG117" s="3"/>
    </row>
    <row r="118" spans="1:33" ht="27.75" customHeight="1">
      <c r="A118" s="3"/>
      <c r="B118" s="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3"/>
      <c r="P118" s="13"/>
      <c r="Q118" s="13"/>
      <c r="R118" s="13"/>
      <c r="S118" s="13"/>
      <c r="T118" s="13"/>
      <c r="U118" s="13"/>
      <c r="V118" s="13"/>
      <c r="W118" s="13"/>
      <c r="X118" s="3"/>
      <c r="Y118" s="3"/>
      <c r="Z118" s="3"/>
      <c r="AA118" s="3"/>
      <c r="AB118" s="3"/>
      <c r="AC118" s="3"/>
      <c r="AD118" s="3"/>
      <c r="AE118" s="3"/>
      <c r="AF118" s="3"/>
      <c r="AG118" s="3"/>
    </row>
    <row r="119" spans="1:33" ht="27.75" customHeight="1">
      <c r="A119" s="3"/>
      <c r="B119" s="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3"/>
      <c r="P119" s="13"/>
      <c r="Q119" s="13"/>
      <c r="R119" s="13"/>
      <c r="S119" s="13"/>
      <c r="T119" s="13"/>
      <c r="U119" s="13"/>
      <c r="V119" s="13"/>
      <c r="W119" s="13"/>
      <c r="X119" s="3"/>
      <c r="Y119" s="3"/>
      <c r="Z119" s="3"/>
      <c r="AA119" s="3"/>
      <c r="AB119" s="3"/>
      <c r="AC119" s="3"/>
      <c r="AD119" s="3"/>
      <c r="AE119" s="3"/>
      <c r="AF119" s="3"/>
      <c r="AG119" s="3"/>
    </row>
    <row r="120" spans="1:33" ht="27.75" customHeight="1">
      <c r="A120" s="3"/>
      <c r="B120" s="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3"/>
      <c r="P120" s="13"/>
      <c r="Q120" s="13"/>
      <c r="R120" s="13"/>
      <c r="S120" s="13"/>
      <c r="T120" s="13"/>
      <c r="U120" s="13"/>
      <c r="V120" s="13"/>
      <c r="W120" s="13"/>
      <c r="X120" s="3"/>
      <c r="Y120" s="3"/>
      <c r="Z120" s="3"/>
      <c r="AA120" s="3"/>
      <c r="AB120" s="3"/>
      <c r="AC120" s="3"/>
      <c r="AD120" s="3"/>
      <c r="AE120" s="3"/>
      <c r="AF120" s="3"/>
      <c r="AG120" s="3"/>
    </row>
    <row r="121" spans="1:33" ht="27.75" customHeight="1">
      <c r="A121" s="3"/>
      <c r="B121" s="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3"/>
      <c r="P121" s="13"/>
      <c r="Q121" s="13"/>
      <c r="R121" s="13"/>
      <c r="S121" s="13"/>
      <c r="T121" s="13"/>
      <c r="U121" s="13"/>
      <c r="V121" s="13"/>
      <c r="W121" s="13"/>
      <c r="X121" s="3"/>
      <c r="Y121" s="3"/>
      <c r="Z121" s="3"/>
      <c r="AA121" s="3"/>
      <c r="AB121" s="3"/>
      <c r="AC121" s="3"/>
      <c r="AD121" s="3"/>
      <c r="AE121" s="3"/>
      <c r="AF121" s="3"/>
      <c r="AG121" s="3"/>
    </row>
    <row r="122" spans="1:33" ht="27.75" customHeight="1">
      <c r="A122" s="3"/>
      <c r="B122" s="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3"/>
      <c r="P122" s="13"/>
      <c r="Q122" s="13"/>
      <c r="R122" s="13"/>
      <c r="S122" s="13"/>
      <c r="T122" s="13"/>
      <c r="U122" s="13"/>
      <c r="V122" s="13"/>
      <c r="W122" s="13"/>
      <c r="X122" s="3"/>
      <c r="Y122" s="3"/>
      <c r="Z122" s="3"/>
      <c r="AA122" s="3"/>
      <c r="AB122" s="3"/>
      <c r="AC122" s="3"/>
      <c r="AD122" s="3"/>
      <c r="AE122" s="3"/>
      <c r="AF122" s="3"/>
      <c r="AG122" s="3"/>
    </row>
    <row r="123" spans="1:33" ht="27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13"/>
      <c r="L123" s="13"/>
      <c r="M123" s="13"/>
      <c r="N123" s="13"/>
      <c r="O123" s="3"/>
      <c r="P123" s="1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</row>
    <row r="124" spans="1:33" ht="27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</row>
    <row r="125" spans="1:33" ht="27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</row>
    <row r="126" spans="1:33" ht="27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</row>
    <row r="127" spans="1:33" ht="27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</row>
    <row r="128" spans="1:33" ht="27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</row>
    <row r="129" spans="1:33" ht="27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</row>
    <row r="130" spans="1:33" ht="27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</row>
    <row r="131" spans="1:33" ht="27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</row>
    <row r="132" spans="1:33" ht="27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</row>
    <row r="133" spans="1: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</row>
    <row r="134" spans="1:33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</row>
    <row r="135" spans="1:33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</row>
    <row r="136" spans="1:33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</row>
    <row r="137" spans="1:33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</row>
    <row r="138" spans="1:33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</row>
    <row r="139" spans="1:33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spans="1:33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</row>
    <row r="141" spans="1:33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</row>
    <row r="142" spans="1:33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</row>
    <row r="143" spans="1:3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</row>
    <row r="144" spans="1:33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</row>
    <row r="145" spans="1:33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</row>
    <row r="146" spans="1:33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</row>
    <row r="147" spans="1:33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</row>
    <row r="148" spans="1:33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</row>
    <row r="149" spans="1:33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</row>
    <row r="150" spans="1:33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</row>
    <row r="151" spans="1:33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</row>
    <row r="152" spans="1:33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</row>
    <row r="153" spans="1:3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</row>
    <row r="154" spans="1:33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</row>
    <row r="155" spans="1:33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</row>
    <row r="156" spans="1:33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</row>
    <row r="157" spans="1:33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</row>
    <row r="158" spans="1:33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</row>
    <row r="159" spans="1:33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</row>
    <row r="160" spans="1:33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</row>
    <row r="161" spans="1:33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</row>
    <row r="162" spans="1:33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</row>
    <row r="163" spans="1:3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</row>
    <row r="164" spans="1:33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</row>
    <row r="165" spans="1:33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</row>
    <row r="166" spans="1:33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</row>
    <row r="167" spans="1:33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</row>
    <row r="168" spans="1:33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</row>
    <row r="169" spans="1:33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</row>
    <row r="170" spans="1:33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</row>
    <row r="171" spans="1:33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</row>
    <row r="172" spans="1:33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</row>
    <row r="173" spans="1:3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</row>
    <row r="174" spans="1:33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</row>
    <row r="175" spans="1:33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</row>
    <row r="176" spans="1:33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</row>
    <row r="177" spans="1:33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</row>
    <row r="178" spans="1:33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</row>
    <row r="179" spans="1:33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</row>
    <row r="180" spans="1:33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</row>
    <row r="181" spans="1:33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</row>
    <row r="182" spans="1:33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</row>
    <row r="183" spans="1:3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</row>
    <row r="184" spans="1:33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</row>
    <row r="185" spans="1:33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</row>
    <row r="186" spans="1:33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</row>
    <row r="187" spans="1:33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</row>
    <row r="188" spans="1:33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</row>
    <row r="189" spans="1:33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</row>
    <row r="190" spans="1:33" ht="15.75" customHeight="1">
      <c r="K190" s="3"/>
      <c r="L190" s="3"/>
      <c r="M190" s="3"/>
      <c r="N190" s="3"/>
      <c r="O190" s="3"/>
      <c r="P190" s="3"/>
    </row>
    <row r="191" spans="1:33" ht="15.75" customHeight="1"/>
    <row r="192" spans="1:33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1048574" spans="15:15" ht="15" customHeight="1">
      <c r="O1048574" s="56">
        <f>SUM(K1048574:N1048576)</f>
        <v>0</v>
      </c>
    </row>
  </sheetData>
  <autoFilter ref="D6:W84" xr:uid="{00000000-0001-0000-0000-000000000000}">
    <sortState xmlns:xlrd2="http://schemas.microsoft.com/office/spreadsheetml/2017/richdata2" ref="D7:W84">
      <sortCondition ref="Q6:Q84"/>
    </sortState>
  </autoFilter>
  <mergeCells count="2">
    <mergeCell ref="D5:J5"/>
    <mergeCell ref="K5:P5"/>
  </mergeCells>
  <conditionalFormatting sqref="H14:H15 S22:W86">
    <cfRule type="containsText" dxfId="216" priority="15" operator="containsText" text="TBD">
      <formula>NOT(ISERROR(SEARCH(("TBD"),(H14))))</formula>
    </cfRule>
    <cfRule type="containsText" dxfId="215" priority="16" operator="containsText" text="Ganho">
      <formula>NOT(ISERROR(SEARCH(("Ganho"),(H14))))</formula>
    </cfRule>
    <cfRule type="containsText" dxfId="214" priority="17" operator="containsText" text="Per">
      <formula>NOT(ISERROR(SEARCH(("Per"),(H14))))</formula>
    </cfRule>
    <cfRule type="cellIs" dxfId="213" priority="18" operator="equal">
      <formula>"Rejeitado"</formula>
    </cfRule>
  </conditionalFormatting>
  <conditionalFormatting sqref="P7:P9 Q7:Q80">
    <cfRule type="containsText" dxfId="212" priority="49" operator="containsText" text="TBD">
      <formula>NOT(ISERROR(SEARCH(("TBD"),(P7))))</formula>
    </cfRule>
    <cfRule type="containsText" dxfId="211" priority="50" operator="containsText" text="Ganho">
      <formula>NOT(ISERROR(SEARCH(("Ganho"),(P7))))</formula>
    </cfRule>
    <cfRule type="containsText" dxfId="210" priority="51" operator="containsText" text="Per">
      <formula>NOT(ISERROR(SEARCH(("Per"),(P7))))</formula>
    </cfRule>
    <cfRule type="cellIs" dxfId="209" priority="52" operator="equal">
      <formula>"Rejeitado"</formula>
    </cfRule>
  </conditionalFormatting>
  <conditionalFormatting sqref="P81:Q86">
    <cfRule type="containsText" dxfId="208" priority="1" operator="containsText" text="TBD">
      <formula>NOT(ISERROR(SEARCH(("TBD"),(P81))))</formula>
    </cfRule>
    <cfRule type="containsText" dxfId="207" priority="2" operator="containsText" text="Ganho">
      <formula>NOT(ISERROR(SEARCH(("Ganho"),(P81))))</formula>
    </cfRule>
    <cfRule type="containsText" dxfId="206" priority="3" operator="containsText" text="Per">
      <formula>NOT(ISERROR(SEARCH(("Per"),(P81))))</formula>
    </cfRule>
    <cfRule type="cellIs" dxfId="205" priority="4" operator="equal">
      <formula>"Rejeitado"</formula>
    </cfRule>
  </conditionalFormatting>
  <conditionalFormatting sqref="S7:V9 S10:W13 P11:P80 S14:V14 S15:W15 S16:V16 S17:W20 S21:V21">
    <cfRule type="containsText" dxfId="204" priority="31" operator="containsText" text="TBD">
      <formula>NOT(ISERROR(SEARCH(("TBD"),(P7))))</formula>
    </cfRule>
    <cfRule type="containsText" dxfId="203" priority="32" operator="containsText" text="Ganho">
      <formula>NOT(ISERROR(SEARCH(("Ganho"),(P7))))</formula>
    </cfRule>
    <cfRule type="containsText" dxfId="202" priority="33" operator="containsText" text="Per">
      <formula>NOT(ISERROR(SEARCH(("Per"),(P7))))</formula>
    </cfRule>
    <cfRule type="cellIs" dxfId="201" priority="34" operator="equal">
      <formula>"Rejeitado"</formula>
    </cfRule>
  </conditionalFormatting>
  <dataValidations count="5">
    <dataValidation type="list" allowBlank="1" showErrorMessage="1" sqref="N7:N9 N73:N74 N64:N68 N25:N27 N71 N43:N45 N31 N58:N59 N40:N41 N52 N49 N54 N56 N76:N86" xr:uid="{BB7FC6A0-1FF9-0D46-93C8-07B3ACCCAE97}">
      <formula1>$M$7:$M$9</formula1>
    </dataValidation>
    <dataValidation type="list" allowBlank="1" showErrorMessage="1" sqref="Q7:Q85 Q86" xr:uid="{00000000-0002-0000-0000-000003000000}">
      <formula1>$O$7:$O$10</formula1>
    </dataValidation>
    <dataValidation type="list" allowBlank="1" showErrorMessage="1" sqref="C7:C86" xr:uid="{00000000-0002-0000-0000-000000000000}">
      <formula1>$N$7:$N$10</formula1>
    </dataValidation>
    <dataValidation type="list" allowBlank="1" showErrorMessage="1" sqref="F7:F86" xr:uid="{00000000-0002-0000-0000-000002000000}">
      <formula1>$P$7:$P$8</formula1>
    </dataValidation>
    <dataValidation type="list" allowBlank="1" showErrorMessage="1" sqref="G7:G86" xr:uid="{E567CDB1-14D3-4F4E-832D-3D10790E7BD9}">
      <formula1>$P$7:$P$9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B6895-569F-454C-AC4A-28B0788120F1}">
  <sheetPr codeName="Sheet3"/>
  <dimension ref="A1:AA557"/>
  <sheetViews>
    <sheetView showGridLines="0" topLeftCell="A4" workbookViewId="0">
      <selection activeCell="I13" sqref="I13:M13"/>
    </sheetView>
  </sheetViews>
  <sheetFormatPr baseColWidth="10" defaultColWidth="11.1640625" defaultRowHeight="15" customHeight="1"/>
  <cols>
    <col min="1" max="1" width="4.1640625" customWidth="1"/>
    <col min="2" max="2" width="3" customWidth="1"/>
    <col min="3" max="3" width="17.83203125" customWidth="1"/>
    <col min="4" max="4" width="17.5" customWidth="1"/>
    <col min="5" max="5" width="16.33203125" customWidth="1"/>
    <col min="6" max="6" width="4.83203125" customWidth="1"/>
    <col min="7" max="7" width="4" customWidth="1"/>
    <col min="8" max="21" width="16.33203125" customWidth="1"/>
    <col min="22" max="27" width="10.5" customWidth="1"/>
  </cols>
  <sheetData>
    <row r="1" spans="1:27" ht="30.75" customHeight="1">
      <c r="A1" s="23"/>
      <c r="B1" s="1"/>
      <c r="C1" s="1"/>
      <c r="D1" s="1"/>
      <c r="E1" s="1"/>
      <c r="F1" s="1" t="s">
        <v>0</v>
      </c>
      <c r="G1" s="1"/>
      <c r="H1" s="1"/>
      <c r="I1" s="1" t="s">
        <v>0</v>
      </c>
      <c r="J1" s="1"/>
      <c r="K1" s="1"/>
      <c r="L1" s="1"/>
      <c r="M1" s="1"/>
      <c r="N1" s="1" t="s">
        <v>0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42.75" customHeight="1">
      <c r="A2" s="23"/>
      <c r="B2" s="1"/>
      <c r="C2" s="30" t="s">
        <v>298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1" customHeight="1">
      <c r="A3" s="23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0.5" customHeight="1"/>
    <row r="5" spans="1:27" ht="20" customHeight="1"/>
    <row r="6" spans="1:27" ht="31" customHeight="1">
      <c r="B6" s="3"/>
      <c r="D6" s="4">
        <v>2023</v>
      </c>
      <c r="E6" s="26">
        <v>2024</v>
      </c>
      <c r="F6" s="27" t="s">
        <v>299</v>
      </c>
      <c r="G6" s="27"/>
      <c r="H6" s="27"/>
      <c r="I6" s="29" t="s">
        <v>29</v>
      </c>
      <c r="J6" s="29" t="s">
        <v>34</v>
      </c>
      <c r="K6" s="29" t="s">
        <v>21</v>
      </c>
      <c r="L6" s="29" t="s">
        <v>48</v>
      </c>
      <c r="M6" s="29" t="s">
        <v>44</v>
      </c>
      <c r="N6" s="29" t="s">
        <v>59</v>
      </c>
      <c r="O6" s="29" t="s">
        <v>68</v>
      </c>
      <c r="P6" s="29" t="s">
        <v>75</v>
      </c>
      <c r="Q6" s="29" t="s">
        <v>73</v>
      </c>
      <c r="R6" s="29" t="s">
        <v>81</v>
      </c>
      <c r="S6" s="29" t="s">
        <v>181</v>
      </c>
      <c r="T6" s="29" t="s">
        <v>268</v>
      </c>
      <c r="U6" s="3"/>
      <c r="V6" s="3"/>
      <c r="W6" s="3"/>
      <c r="X6" s="3"/>
      <c r="Y6" s="3"/>
      <c r="Z6" s="3"/>
      <c r="AA6" s="3"/>
    </row>
    <row r="7" spans="1:27" ht="31" customHeight="1">
      <c r="C7" s="29" t="s">
        <v>300</v>
      </c>
      <c r="D7" s="33">
        <f>SUM(I11:L11)</f>
        <v>70</v>
      </c>
      <c r="E7" s="35">
        <f>SUM(I12:L12)</f>
        <v>77</v>
      </c>
      <c r="H7" s="4">
        <v>2023</v>
      </c>
      <c r="I7" s="33">
        <f>COUNTIF('BD 2023'!$G6:$G72,'23 vs 24'!I6)</f>
        <v>8</v>
      </c>
      <c r="J7" s="33">
        <f>COUNTIF('BD 2023'!$G6:$G72,'23 vs 24'!J6)</f>
        <v>8</v>
      </c>
      <c r="K7" s="33">
        <f>COUNTIF('BD 2023'!$G6:$G72,'23 vs 24'!K6)</f>
        <v>8</v>
      </c>
      <c r="L7" s="36">
        <f>COUNTIF('BD 2023'!$G6:$G72,'23 vs 24'!L6)</f>
        <v>9</v>
      </c>
      <c r="M7" s="36">
        <f>COUNTIF('BD 2023'!$G6:$G72,'23 vs 24'!M6)</f>
        <v>10</v>
      </c>
      <c r="N7" s="33">
        <f>COUNTIF('BD 2023'!$G6:$G72,'23 vs 24'!N6)</f>
        <v>5</v>
      </c>
      <c r="O7" s="33">
        <f>COUNTIF('BD 2023'!$G6:$G72,'23 vs 24'!O6)</f>
        <v>6</v>
      </c>
      <c r="P7" s="33">
        <f>COUNTIF('BD 2023'!$G6:$G72,'23 vs 24'!P6)</f>
        <v>6</v>
      </c>
      <c r="Q7" s="33">
        <f>COUNTIF('BD 2023'!$G6:$G72,'23 vs 24'!Q6)</f>
        <v>6</v>
      </c>
      <c r="R7" s="33">
        <f>COUNTIF('BD 2023'!$G6:$G72,'23 vs 24'!R6)</f>
        <v>1</v>
      </c>
      <c r="S7" s="33">
        <f>COUNTIF('BD 2023'!$G6:$G72,'23 vs 24'!S6)</f>
        <v>0</v>
      </c>
      <c r="T7" s="33">
        <f>COUNTIF('BD 2023'!$G6:$G72,'23 vs 24'!T6)</f>
        <v>0</v>
      </c>
      <c r="U7" s="22">
        <f>SUM(I7:T7)</f>
        <v>67</v>
      </c>
    </row>
    <row r="8" spans="1:27" ht="31" customHeight="1">
      <c r="C8" s="29" t="s">
        <v>301</v>
      </c>
      <c r="D8" s="33">
        <v>5</v>
      </c>
      <c r="E8" s="35">
        <v>16</v>
      </c>
      <c r="F8">
        <f>E8/E7</f>
        <v>0.20779220779220781</v>
      </c>
      <c r="H8" s="26">
        <v>2024</v>
      </c>
      <c r="I8" s="36">
        <f>COUNTIF('BD 2024'!$I7:I87,'23 vs 24'!I6)</f>
        <v>13</v>
      </c>
      <c r="J8" s="33">
        <f>COUNTIF('BD 2024'!$I7:Q87,'23 vs 24'!J6)</f>
        <v>6</v>
      </c>
      <c r="K8" s="33">
        <f>COUNTIF('BD 2024'!$I7:R87,'23 vs 24'!K6)</f>
        <v>8</v>
      </c>
      <c r="L8" s="33">
        <f>COUNTIF('BD 2024'!$I7:K87,'23 vs 24'!L6)</f>
        <v>8</v>
      </c>
      <c r="M8" s="33">
        <f>COUNTIF('BD 2024'!$I7:L87,'23 vs 24'!M6)</f>
        <v>5</v>
      </c>
      <c r="N8" s="33">
        <f>COUNTIF('BD 2024'!$I7:M87,'23 vs 24'!N6)</f>
        <v>4</v>
      </c>
      <c r="O8" s="33">
        <f>COUNTIF('BD 2024'!$I7:N87,'23 vs 24'!O6)</f>
        <v>5</v>
      </c>
      <c r="P8" s="33">
        <f>COUNTIF('BD 2024'!$I7:O87,'23 vs 24'!P6)</f>
        <v>9</v>
      </c>
      <c r="Q8" s="33">
        <f>COUNTIF('BD 2024'!$I7:R87,'23 vs 24'!Q6)</f>
        <v>5</v>
      </c>
      <c r="R8" s="33">
        <f>COUNTIF('BD 2024'!$I7:X87,'23 vs 24'!R6)</f>
        <v>6</v>
      </c>
      <c r="S8" s="33">
        <f>COUNTIF('BD 2024'!$I7:Y87,'23 vs 24'!S6)</f>
        <v>7</v>
      </c>
      <c r="T8" s="33">
        <f>COUNTIF('BD 2024'!$I7:Z87,'23 vs 24'!T6)</f>
        <v>4</v>
      </c>
      <c r="U8" s="22">
        <f>SUM(I8:T8)</f>
        <v>80</v>
      </c>
    </row>
    <row r="9" spans="1:27" ht="31" customHeight="1">
      <c r="C9" s="29" t="s">
        <v>50</v>
      </c>
      <c r="D9" s="33">
        <v>68</v>
      </c>
      <c r="E9" s="35">
        <f>E7-E8</f>
        <v>61</v>
      </c>
      <c r="H9" s="27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</row>
    <row r="10" spans="1:27" ht="31" customHeight="1">
      <c r="C10" s="76" t="s">
        <v>25</v>
      </c>
      <c r="D10" s="33">
        <v>47</v>
      </c>
      <c r="E10" s="35">
        <f>COUNTIF('BD 2024'!G7:G83,'23 vs 24'!C10)</f>
        <v>55</v>
      </c>
      <c r="H10" s="37" t="s">
        <v>302</v>
      </c>
      <c r="I10" s="29" t="s">
        <v>22</v>
      </c>
      <c r="J10" s="29" t="s">
        <v>45</v>
      </c>
      <c r="K10" s="29" t="s">
        <v>69</v>
      </c>
      <c r="L10" s="29" t="s">
        <v>82</v>
      </c>
      <c r="N10" s="37" t="s">
        <v>303</v>
      </c>
      <c r="O10" s="29" t="s">
        <v>22</v>
      </c>
      <c r="P10" s="29" t="s">
        <v>45</v>
      </c>
      <c r="Q10" s="29" t="s">
        <v>69</v>
      </c>
      <c r="R10" s="29" t="s">
        <v>82</v>
      </c>
    </row>
    <row r="11" spans="1:27" ht="31" customHeight="1">
      <c r="C11" s="29" t="s">
        <v>32</v>
      </c>
      <c r="D11" s="33">
        <v>3</v>
      </c>
      <c r="E11" s="35">
        <f>COUNTIF('BD 2024'!G7:G83,'23 vs 24'!C11)</f>
        <v>6</v>
      </c>
      <c r="F11" s="28">
        <v>2024</v>
      </c>
      <c r="H11" s="4">
        <v>2023</v>
      </c>
      <c r="I11" s="33">
        <f>SUM(I7:K7)</f>
        <v>24</v>
      </c>
      <c r="J11" s="33">
        <f>SUM(L7:N7)</f>
        <v>24</v>
      </c>
      <c r="K11" s="33">
        <f>SUM(O7:Q7)</f>
        <v>18</v>
      </c>
      <c r="L11" s="33">
        <v>4</v>
      </c>
      <c r="N11" s="4">
        <v>2023</v>
      </c>
      <c r="O11" s="33">
        <v>23</v>
      </c>
      <c r="P11" s="33">
        <v>24</v>
      </c>
      <c r="Q11" s="33">
        <v>15</v>
      </c>
      <c r="R11" s="33">
        <v>1</v>
      </c>
    </row>
    <row r="12" spans="1:27" ht="31" customHeight="1">
      <c r="C12" s="29" t="s">
        <v>20</v>
      </c>
      <c r="D12" s="33">
        <v>18</v>
      </c>
      <c r="E12" s="35">
        <f>COUNTIF('BD 2024'!G7:G83,'23 vs 24'!C12)</f>
        <v>16</v>
      </c>
      <c r="H12" s="26">
        <v>2024</v>
      </c>
      <c r="I12" s="33">
        <f>COUNTIF('BD 2024'!J7:J83,'23 vs 24'!I10)</f>
        <v>27</v>
      </c>
      <c r="J12" s="33">
        <f>COUNTIF('BD 2024'!J7:J83,'23 vs 24'!J10)</f>
        <v>17</v>
      </c>
      <c r="K12" s="33">
        <f>COUNTIF('BD 2024'!J7:J83,'23 vs 24'!K10)</f>
        <v>19</v>
      </c>
      <c r="L12" s="33">
        <f>COUNTIF('BD 2024'!J7:J83,'23 vs 24'!L10)</f>
        <v>14</v>
      </c>
      <c r="N12" s="22" t="s">
        <v>304</v>
      </c>
      <c r="O12" s="34">
        <f>O11/I11</f>
        <v>0.95833333333333337</v>
      </c>
      <c r="P12" s="34">
        <f>P11/J11</f>
        <v>1</v>
      </c>
      <c r="Q12" s="34">
        <f>Q11/K11</f>
        <v>0.83333333333333337</v>
      </c>
      <c r="R12" s="34">
        <f>R11/L11</f>
        <v>0.25</v>
      </c>
    </row>
    <row r="13" spans="1:27" ht="31" customHeight="1">
      <c r="C13" s="29" t="s">
        <v>305</v>
      </c>
      <c r="D13" s="41">
        <v>0.28999999999999998</v>
      </c>
      <c r="E13" s="42">
        <v>0.28000000000000003</v>
      </c>
      <c r="I13" s="125"/>
      <c r="J13" s="125"/>
      <c r="K13" s="125"/>
      <c r="L13" s="125"/>
      <c r="N13" s="26">
        <v>2024</v>
      </c>
      <c r="O13" s="33">
        <v>20</v>
      </c>
      <c r="P13" s="33">
        <v>14</v>
      </c>
      <c r="Q13" s="33">
        <v>14</v>
      </c>
      <c r="R13" s="33">
        <v>6</v>
      </c>
    </row>
    <row r="14" spans="1:27" ht="31" customHeight="1">
      <c r="C14" s="29" t="s">
        <v>18</v>
      </c>
      <c r="D14" s="41">
        <v>0.41</v>
      </c>
      <c r="E14" s="42">
        <v>0.24</v>
      </c>
      <c r="N14" s="22" t="s">
        <v>304</v>
      </c>
      <c r="O14" s="34">
        <f>O13/I12</f>
        <v>0.7407407407407407</v>
      </c>
      <c r="P14" s="34">
        <f>P13/J12</f>
        <v>0.82352941176470584</v>
      </c>
      <c r="Q14" s="34">
        <f>Q13/K12</f>
        <v>0.73684210526315785</v>
      </c>
      <c r="R14" s="34">
        <f>R13/L12</f>
        <v>0.42857142857142855</v>
      </c>
    </row>
    <row r="15" spans="1:27" ht="31" customHeight="1">
      <c r="C15" s="29" t="s">
        <v>56</v>
      </c>
      <c r="D15" s="41">
        <v>0.21</v>
      </c>
      <c r="E15" s="42">
        <v>0.19</v>
      </c>
      <c r="H15" s="121" t="s">
        <v>306</v>
      </c>
      <c r="J15" s="29" t="s">
        <v>27</v>
      </c>
      <c r="K15" s="29" t="s">
        <v>18</v>
      </c>
      <c r="L15" s="29" t="s">
        <v>77</v>
      </c>
      <c r="M15" s="29" t="s">
        <v>307</v>
      </c>
    </row>
    <row r="16" spans="1:27" ht="31" customHeight="1">
      <c r="C16" s="29" t="s">
        <v>308</v>
      </c>
      <c r="D16" s="41">
        <v>0.03</v>
      </c>
      <c r="E16" s="42">
        <v>0.28999999999999998</v>
      </c>
      <c r="H16" s="330">
        <v>2023</v>
      </c>
      <c r="I16" s="76" t="s">
        <v>147</v>
      </c>
      <c r="J16" s="33"/>
      <c r="K16" s="33"/>
      <c r="L16" s="33"/>
      <c r="M16" s="33"/>
    </row>
    <row r="17" spans="3:21" ht="31" customHeight="1">
      <c r="C17" s="29" t="s">
        <v>309</v>
      </c>
      <c r="D17" s="33"/>
      <c r="E17" s="35"/>
      <c r="H17" s="330"/>
      <c r="I17" s="76" t="s">
        <v>125</v>
      </c>
      <c r="J17" s="33"/>
      <c r="K17" s="33"/>
      <c r="L17" s="33"/>
      <c r="M17" s="33"/>
      <c r="P17" s="37" t="s">
        <v>310</v>
      </c>
      <c r="Q17" s="29" t="s">
        <v>22</v>
      </c>
      <c r="R17" s="29" t="s">
        <v>45</v>
      </c>
      <c r="S17" s="29" t="s">
        <v>69</v>
      </c>
      <c r="T17" s="29" t="s">
        <v>82</v>
      </c>
    </row>
    <row r="18" spans="3:21" ht="31" customHeight="1">
      <c r="C18" s="29" t="s">
        <v>158</v>
      </c>
      <c r="D18" s="29"/>
      <c r="E18" s="29"/>
      <c r="H18" s="330"/>
      <c r="I18" s="32" t="s">
        <v>311</v>
      </c>
      <c r="J18" s="33"/>
      <c r="K18" s="33"/>
      <c r="L18" s="33"/>
      <c r="M18" s="33"/>
      <c r="P18" s="4">
        <v>2023</v>
      </c>
      <c r="Q18" s="45">
        <v>23</v>
      </c>
      <c r="R18" s="45">
        <v>24</v>
      </c>
      <c r="S18" s="45">
        <v>16</v>
      </c>
      <c r="T18" s="45">
        <v>1</v>
      </c>
    </row>
    <row r="19" spans="3:21" ht="31" customHeight="1">
      <c r="C19" s="29" t="s">
        <v>312</v>
      </c>
      <c r="D19" s="29"/>
      <c r="E19" s="29"/>
      <c r="H19" s="329">
        <v>2024</v>
      </c>
      <c r="I19" s="76" t="s">
        <v>147</v>
      </c>
      <c r="J19" s="33"/>
      <c r="K19" s="33"/>
      <c r="L19" s="33"/>
      <c r="M19" s="33"/>
      <c r="P19" s="76" t="s">
        <v>147</v>
      </c>
      <c r="Q19" s="47">
        <v>6</v>
      </c>
      <c r="R19" s="47">
        <v>10</v>
      </c>
      <c r="S19" s="47">
        <v>6</v>
      </c>
      <c r="T19" s="47">
        <v>1</v>
      </c>
    </row>
    <row r="20" spans="3:21" ht="31" customHeight="1">
      <c r="H20" s="329"/>
      <c r="I20" s="76" t="s">
        <v>125</v>
      </c>
      <c r="J20" s="33"/>
      <c r="K20" s="33"/>
      <c r="L20" s="33"/>
      <c r="M20" s="33"/>
      <c r="P20" s="76" t="s">
        <v>125</v>
      </c>
      <c r="Q20" s="48">
        <v>17</v>
      </c>
      <c r="R20" s="48">
        <v>14</v>
      </c>
      <c r="S20" s="48">
        <v>10</v>
      </c>
      <c r="T20" s="48">
        <v>0</v>
      </c>
    </row>
    <row r="21" spans="3:21" ht="31" customHeight="1">
      <c r="E21" s="40"/>
      <c r="F21" s="40"/>
      <c r="G21" s="40"/>
      <c r="H21" s="329"/>
      <c r="I21" s="32" t="s">
        <v>311</v>
      </c>
      <c r="J21" s="33"/>
      <c r="K21" s="33"/>
      <c r="L21" s="33"/>
      <c r="M21" s="33"/>
      <c r="P21" s="32" t="s">
        <v>311</v>
      </c>
      <c r="Q21" s="49">
        <f>Q19/23</f>
        <v>0.2608695652173913</v>
      </c>
      <c r="R21" s="49">
        <f>R19/24</f>
        <v>0.41666666666666669</v>
      </c>
      <c r="S21" s="49">
        <f>S19/S18</f>
        <v>0.375</v>
      </c>
      <c r="T21" s="49">
        <v>1</v>
      </c>
      <c r="U21">
        <f>SUM(Q19:T19)/SUM(Q18:T18)</f>
        <v>0.359375</v>
      </c>
    </row>
    <row r="22" spans="3:21" ht="31" customHeight="1">
      <c r="F22" s="38"/>
      <c r="G22" s="38"/>
      <c r="H22" s="38"/>
      <c r="I22" s="40"/>
    </row>
    <row r="23" spans="3:21" ht="31" customHeight="1">
      <c r="E23" s="40"/>
      <c r="F23" s="39"/>
      <c r="G23" s="39"/>
      <c r="H23" s="55" t="s">
        <v>313</v>
      </c>
      <c r="J23" s="29" t="s">
        <v>27</v>
      </c>
      <c r="K23" s="29" t="s">
        <v>18</v>
      </c>
      <c r="L23" s="29" t="s">
        <v>77</v>
      </c>
      <c r="M23" s="29" t="s">
        <v>307</v>
      </c>
      <c r="N23" s="29" t="s">
        <v>314</v>
      </c>
      <c r="P23" s="26">
        <v>2024</v>
      </c>
      <c r="Q23" s="46">
        <v>20</v>
      </c>
      <c r="R23" s="46">
        <v>12</v>
      </c>
      <c r="S23" s="46">
        <v>5</v>
      </c>
      <c r="T23" s="46">
        <v>6</v>
      </c>
    </row>
    <row r="24" spans="3:21" ht="31" customHeight="1">
      <c r="F24" s="38"/>
      <c r="G24" s="38"/>
      <c r="H24" s="328">
        <v>2024</v>
      </c>
      <c r="I24" s="32" t="s">
        <v>315</v>
      </c>
      <c r="J24" s="53">
        <v>15</v>
      </c>
      <c r="K24" s="53">
        <v>19</v>
      </c>
      <c r="L24" s="53">
        <v>8</v>
      </c>
      <c r="M24" s="53">
        <v>6</v>
      </c>
      <c r="N24" s="53">
        <v>8</v>
      </c>
      <c r="P24" s="76" t="s">
        <v>147</v>
      </c>
      <c r="Q24" s="47">
        <v>5</v>
      </c>
      <c r="R24" s="47">
        <v>6</v>
      </c>
      <c r="S24" s="47">
        <v>2</v>
      </c>
      <c r="T24" s="47"/>
      <c r="U24" s="40"/>
    </row>
    <row r="25" spans="3:21" ht="31" customHeight="1">
      <c r="E25" s="40"/>
      <c r="F25" s="39"/>
      <c r="G25" s="39"/>
      <c r="H25" s="328"/>
      <c r="I25" s="32" t="s">
        <v>304</v>
      </c>
      <c r="J25" s="54">
        <f>J24/(J24+J26)</f>
        <v>0.9375</v>
      </c>
      <c r="K25" s="54">
        <f>K24/(K24+K26)</f>
        <v>0.95</v>
      </c>
      <c r="L25" s="54">
        <f>L24/(L24+L26)</f>
        <v>0.8</v>
      </c>
      <c r="M25" s="54">
        <f>M24/(M24+M26)</f>
        <v>0.3</v>
      </c>
      <c r="N25" s="54">
        <f>N24/(N24+N26)</f>
        <v>0.5714285714285714</v>
      </c>
      <c r="P25" s="76" t="s">
        <v>125</v>
      </c>
      <c r="Q25" s="31"/>
      <c r="R25" s="31"/>
      <c r="S25" s="31"/>
      <c r="T25" s="31"/>
      <c r="U25" s="40"/>
    </row>
    <row r="26" spans="3:21" ht="31" customHeight="1">
      <c r="F26" s="38"/>
      <c r="G26" s="38"/>
      <c r="H26" s="328"/>
      <c r="I26" s="32" t="s">
        <v>28</v>
      </c>
      <c r="J26" s="53">
        <v>1</v>
      </c>
      <c r="K26" s="33">
        <v>1</v>
      </c>
      <c r="L26" s="53">
        <v>2</v>
      </c>
      <c r="M26" s="53">
        <v>14</v>
      </c>
      <c r="N26" s="53">
        <v>6</v>
      </c>
      <c r="P26" s="31" t="s">
        <v>311</v>
      </c>
      <c r="Q26" s="31"/>
      <c r="R26" s="31"/>
      <c r="S26" s="31"/>
      <c r="T26" s="31"/>
      <c r="U26" s="40"/>
    </row>
    <row r="27" spans="3:21" ht="31" customHeight="1">
      <c r="E27" s="40"/>
      <c r="F27" s="39"/>
      <c r="G27" s="39"/>
      <c r="H27" s="328"/>
      <c r="I27" s="32" t="s">
        <v>304</v>
      </c>
      <c r="J27" s="54">
        <f>J26/(J26+J24)</f>
        <v>6.25E-2</v>
      </c>
      <c r="K27" s="54">
        <f>K26/(K26+K24)</f>
        <v>0.05</v>
      </c>
      <c r="L27" s="54">
        <f>L26/(L26+L24)</f>
        <v>0.2</v>
      </c>
      <c r="M27" s="54">
        <f>M26/(M26+M24)</f>
        <v>0.7</v>
      </c>
      <c r="N27" s="54">
        <f>N26/(N26+N24)</f>
        <v>0.42857142857142855</v>
      </c>
      <c r="O27" s="43"/>
    </row>
    <row r="28" spans="3:21" ht="31" customHeight="1">
      <c r="F28" s="38"/>
      <c r="G28" s="38"/>
      <c r="O28" s="28"/>
      <c r="P28" s="38"/>
      <c r="Q28" s="38"/>
      <c r="R28" s="38"/>
      <c r="S28" s="38"/>
      <c r="T28" s="40"/>
    </row>
    <row r="29" spans="3:21" ht="31" customHeight="1">
      <c r="E29" s="40"/>
      <c r="F29" s="39"/>
      <c r="G29" s="39"/>
      <c r="H29" s="52"/>
      <c r="I29" s="43"/>
      <c r="J29" s="38"/>
      <c r="K29" s="38"/>
      <c r="L29" s="38"/>
      <c r="M29" s="38"/>
      <c r="O29" s="43"/>
      <c r="P29" s="44"/>
      <c r="Q29" s="44"/>
      <c r="R29" s="44"/>
      <c r="S29" s="44"/>
      <c r="T29" s="40"/>
    </row>
    <row r="30" spans="3:21" ht="15.75" customHeight="1">
      <c r="O30" s="40"/>
      <c r="P30" s="40"/>
      <c r="Q30" s="40"/>
      <c r="R30" s="40"/>
      <c r="S30" s="40"/>
      <c r="T30" s="40"/>
    </row>
    <row r="31" spans="3:21" ht="15.75" customHeight="1"/>
    <row r="32" spans="3:2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</sheetData>
  <mergeCells count="3">
    <mergeCell ref="H24:H27"/>
    <mergeCell ref="H19:H21"/>
    <mergeCell ref="H16:H18"/>
  </mergeCells>
  <phoneticPr fontId="21" type="noConversion"/>
  <conditionalFormatting sqref="I16:I17">
    <cfRule type="containsText" dxfId="200" priority="25" operator="containsText" text="TBD">
      <formula>NOT(ISERROR(SEARCH(("TBD"),(I16))))</formula>
    </cfRule>
    <cfRule type="containsText" dxfId="199" priority="26" operator="containsText" text="Ganho">
      <formula>NOT(ISERROR(SEARCH(("Ganho"),(I16))))</formula>
    </cfRule>
    <cfRule type="containsText" dxfId="198" priority="27" operator="containsText" text="Per">
      <formula>NOT(ISERROR(SEARCH(("Per"),(I16))))</formula>
    </cfRule>
    <cfRule type="cellIs" dxfId="197" priority="28" operator="equal">
      <formula>"Rejeitado"</formula>
    </cfRule>
  </conditionalFormatting>
  <conditionalFormatting sqref="I19:I20">
    <cfRule type="containsText" dxfId="196" priority="17" operator="containsText" text="TBD">
      <formula>NOT(ISERROR(SEARCH(("TBD"),(I19))))</formula>
    </cfRule>
    <cfRule type="containsText" dxfId="195" priority="18" operator="containsText" text="Ganho">
      <formula>NOT(ISERROR(SEARCH(("Ganho"),(I19))))</formula>
    </cfRule>
    <cfRule type="containsText" dxfId="194" priority="19" operator="containsText" text="Per">
      <formula>NOT(ISERROR(SEARCH(("Per"),(I19))))</formula>
    </cfRule>
    <cfRule type="cellIs" dxfId="193" priority="20" operator="equal">
      <formula>"Rejeitado"</formula>
    </cfRule>
  </conditionalFormatting>
  <conditionalFormatting sqref="P19:P20">
    <cfRule type="containsText" dxfId="192" priority="9" operator="containsText" text="TBD">
      <formula>NOT(ISERROR(SEARCH(("TBD"),(P19))))</formula>
    </cfRule>
    <cfRule type="containsText" dxfId="191" priority="10" operator="containsText" text="Ganho">
      <formula>NOT(ISERROR(SEARCH(("Ganho"),(P19))))</formula>
    </cfRule>
    <cfRule type="containsText" dxfId="190" priority="11" operator="containsText" text="Per">
      <formula>NOT(ISERROR(SEARCH(("Per"),(P19))))</formula>
    </cfRule>
    <cfRule type="cellIs" dxfId="189" priority="12" operator="equal">
      <formula>"Rejeitado"</formula>
    </cfRule>
  </conditionalFormatting>
  <conditionalFormatting sqref="P24:P25">
    <cfRule type="containsText" dxfId="188" priority="1" operator="containsText" text="TBD">
      <formula>NOT(ISERROR(SEARCH(("TBD"),(P24))))</formula>
    </cfRule>
    <cfRule type="containsText" dxfId="187" priority="2" operator="containsText" text="Ganho">
      <formula>NOT(ISERROR(SEARCH(("Ganho"),(P24))))</formula>
    </cfRule>
    <cfRule type="containsText" dxfId="186" priority="3" operator="containsText" text="Per">
      <formula>NOT(ISERROR(SEARCH(("Per"),(P24))))</formula>
    </cfRule>
    <cfRule type="cellIs" dxfId="185" priority="4" operator="equal">
      <formula>"Rejeitado"</formula>
    </cfRule>
  </conditionalFormatting>
  <conditionalFormatting sqref="U7">
    <cfRule type="cellIs" dxfId="184" priority="34" operator="lessThan">
      <formula>$D$7</formula>
    </cfRule>
  </conditionalFormatting>
  <conditionalFormatting sqref="U8">
    <cfRule type="cellIs" dxfId="183" priority="33" operator="lessThan">
      <formula>$E$7</formula>
    </cfRule>
  </conditionalFormatting>
  <dataValidations count="2">
    <dataValidation type="list" allowBlank="1" showErrorMessage="1" sqref="I16:I17 I19:I20 P19:P20 P24:P25" xr:uid="{92AA0A93-6585-BE43-B9F7-DED7BDBCCDF1}">
      <formula1>$O$7:$O$10</formula1>
    </dataValidation>
    <dataValidation type="list" allowBlank="1" showErrorMessage="1" sqref="C10" xr:uid="{CECEF829-D4D0-D543-8D19-59F0592F77D9}">
      <formula1>$P$7:$P$9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8501E-E356-9748-ADBE-585FDADFA394}">
  <sheetPr codeName="Sheet4"/>
  <dimension ref="C3:P76"/>
  <sheetViews>
    <sheetView showGridLines="0" workbookViewId="0">
      <selection activeCell="O6" sqref="O6"/>
    </sheetView>
  </sheetViews>
  <sheetFormatPr baseColWidth="10" defaultColWidth="11" defaultRowHeight="16"/>
  <cols>
    <col min="4" max="4" width="27.5" customWidth="1"/>
    <col min="5" max="5" width="10.83203125" customWidth="1"/>
    <col min="6" max="6" width="32.5" style="139" customWidth="1"/>
    <col min="7" max="7" width="38" style="139" customWidth="1"/>
    <col min="8" max="8" width="17.6640625" customWidth="1"/>
    <col min="9" max="13" width="10.83203125" customWidth="1"/>
    <col min="14" max="14" width="18.5" customWidth="1"/>
    <col min="15" max="15" width="22" customWidth="1"/>
    <col min="16" max="16" width="10.83203125" customWidth="1"/>
  </cols>
  <sheetData>
    <row r="3" spans="3:16">
      <c r="N3" s="269" t="s">
        <v>316</v>
      </c>
      <c r="O3" s="269" t="s">
        <v>317</v>
      </c>
    </row>
    <row r="4" spans="3:16">
      <c r="N4" s="132" t="s">
        <v>318</v>
      </c>
      <c r="O4" s="268">
        <v>44923</v>
      </c>
    </row>
    <row r="5" spans="3:16" ht="23" customHeight="1">
      <c r="F5" s="31" t="s">
        <v>2</v>
      </c>
      <c r="G5" s="31" t="s">
        <v>319</v>
      </c>
      <c r="H5" s="132"/>
      <c r="N5" s="132" t="s">
        <v>320</v>
      </c>
      <c r="O5" s="268">
        <v>323015</v>
      </c>
    </row>
    <row r="6" spans="3:16" ht="23" customHeight="1">
      <c r="C6" s="162" t="s">
        <v>321</v>
      </c>
      <c r="D6" s="121"/>
      <c r="E6" s="131"/>
      <c r="F6" s="134" t="s">
        <v>322</v>
      </c>
      <c r="G6" s="22" t="s">
        <v>323</v>
      </c>
      <c r="H6" s="133"/>
      <c r="I6" s="131"/>
      <c r="J6" s="131"/>
      <c r="K6" s="131"/>
      <c r="L6" s="131"/>
      <c r="M6" s="131"/>
      <c r="N6" s="132" t="s">
        <v>324</v>
      </c>
      <c r="O6" s="268" t="s">
        <v>325</v>
      </c>
      <c r="P6" s="131"/>
    </row>
    <row r="7" spans="3:16" ht="23" customHeight="1">
      <c r="C7" s="162" t="s">
        <v>326</v>
      </c>
      <c r="D7" s="121"/>
      <c r="F7" s="134" t="s">
        <v>327</v>
      </c>
      <c r="G7" s="31" t="s">
        <v>328</v>
      </c>
      <c r="H7" s="132"/>
      <c r="N7" s="132" t="s">
        <v>329</v>
      </c>
      <c r="O7" s="268" t="s">
        <v>330</v>
      </c>
    </row>
    <row r="8" spans="3:16" ht="23" customHeight="1">
      <c r="C8" s="162" t="s">
        <v>331</v>
      </c>
      <c r="D8" s="121"/>
      <c r="F8" s="134" t="s">
        <v>332</v>
      </c>
      <c r="G8" s="31"/>
      <c r="H8" s="132"/>
      <c r="N8" s="132" t="s">
        <v>333</v>
      </c>
      <c r="O8" s="268" t="s">
        <v>334</v>
      </c>
    </row>
    <row r="9" spans="3:16" ht="23" customHeight="1">
      <c r="C9" s="162" t="s">
        <v>335</v>
      </c>
      <c r="D9" s="121"/>
      <c r="F9" s="134" t="s">
        <v>336</v>
      </c>
      <c r="G9" s="31" t="s">
        <v>321</v>
      </c>
      <c r="H9" s="132"/>
      <c r="N9" s="132" t="s">
        <v>337</v>
      </c>
      <c r="O9" s="268">
        <v>163878</v>
      </c>
    </row>
    <row r="10" spans="3:16" ht="23" customHeight="1">
      <c r="C10" s="162" t="s">
        <v>338</v>
      </c>
      <c r="D10" s="121"/>
      <c r="F10" s="134" t="s">
        <v>339</v>
      </c>
      <c r="G10" s="31" t="s">
        <v>340</v>
      </c>
      <c r="H10" s="132"/>
      <c r="N10" s="132" t="s">
        <v>341</v>
      </c>
      <c r="O10" s="268">
        <v>137172</v>
      </c>
    </row>
    <row r="11" spans="3:16" ht="23" customHeight="1">
      <c r="C11" s="162" t="s">
        <v>342</v>
      </c>
      <c r="D11" s="121"/>
      <c r="F11" s="134" t="s">
        <v>343</v>
      </c>
      <c r="G11" s="31" t="s">
        <v>344</v>
      </c>
      <c r="H11" s="132"/>
      <c r="K11">
        <f>13850+20300+25800+12500</f>
        <v>72450</v>
      </c>
      <c r="N11" s="132" t="s">
        <v>345</v>
      </c>
      <c r="O11" s="268">
        <v>129177</v>
      </c>
    </row>
    <row r="12" spans="3:16" ht="23" customHeight="1">
      <c r="C12" s="162" t="s">
        <v>346</v>
      </c>
      <c r="D12" s="121"/>
      <c r="F12" s="134" t="s">
        <v>347</v>
      </c>
      <c r="G12" s="31" t="s">
        <v>335</v>
      </c>
      <c r="H12" s="132"/>
      <c r="N12" s="132" t="s">
        <v>348</v>
      </c>
      <c r="O12" s="268">
        <v>80306</v>
      </c>
    </row>
    <row r="13" spans="3:16" ht="23" customHeight="1">
      <c r="C13" s="162" t="s">
        <v>349</v>
      </c>
      <c r="D13" s="121"/>
      <c r="F13" s="134" t="s">
        <v>52</v>
      </c>
      <c r="G13" s="31" t="s">
        <v>350</v>
      </c>
      <c r="H13" s="132"/>
      <c r="N13" s="132" t="s">
        <v>351</v>
      </c>
      <c r="O13" s="268" t="s">
        <v>352</v>
      </c>
    </row>
    <row r="14" spans="3:16" ht="23" customHeight="1">
      <c r="C14" s="162" t="s">
        <v>353</v>
      </c>
      <c r="D14" s="121"/>
      <c r="F14" s="134" t="s">
        <v>354</v>
      </c>
      <c r="G14" s="121" t="s">
        <v>355</v>
      </c>
      <c r="H14" s="132"/>
      <c r="N14" s="132" t="s">
        <v>356</v>
      </c>
      <c r="O14" s="268" t="s">
        <v>357</v>
      </c>
    </row>
    <row r="15" spans="3:16" ht="23" customHeight="1">
      <c r="C15" s="162" t="s">
        <v>328</v>
      </c>
      <c r="D15" s="121"/>
      <c r="F15" s="134" t="s">
        <v>358</v>
      </c>
      <c r="G15" s="121" t="s">
        <v>359</v>
      </c>
      <c r="H15" s="132"/>
      <c r="N15" s="132" t="s">
        <v>360</v>
      </c>
      <c r="O15" s="268" t="s">
        <v>361</v>
      </c>
    </row>
    <row r="16" spans="3:16" ht="23" customHeight="1">
      <c r="C16" s="162" t="s">
        <v>323</v>
      </c>
      <c r="D16" s="121"/>
      <c r="F16" s="134" t="s">
        <v>362</v>
      </c>
      <c r="G16" s="31"/>
      <c r="H16" s="132"/>
      <c r="N16" s="132" t="s">
        <v>363</v>
      </c>
      <c r="O16" s="268" t="s">
        <v>364</v>
      </c>
    </row>
    <row r="17" spans="3:15" ht="23" customHeight="1">
      <c r="C17" s="162" t="s">
        <v>355</v>
      </c>
      <c r="D17" s="121"/>
      <c r="F17" s="134" t="s">
        <v>365</v>
      </c>
      <c r="G17" s="31"/>
      <c r="H17" s="132"/>
      <c r="K17">
        <f>14400/10</f>
        <v>1440</v>
      </c>
      <c r="N17" s="132" t="s">
        <v>366</v>
      </c>
      <c r="O17" s="268" t="s">
        <v>367</v>
      </c>
    </row>
    <row r="18" spans="3:15" ht="23" customHeight="1">
      <c r="C18" s="162" t="s">
        <v>368</v>
      </c>
      <c r="D18" s="121"/>
      <c r="F18" s="134" t="s">
        <v>369</v>
      </c>
      <c r="G18" s="121" t="s">
        <v>355</v>
      </c>
      <c r="H18" s="132"/>
      <c r="N18" s="132" t="s">
        <v>370</v>
      </c>
      <c r="O18" s="268" t="s">
        <v>371</v>
      </c>
    </row>
    <row r="19" spans="3:15" ht="23" customHeight="1">
      <c r="C19" s="162" t="s">
        <v>372</v>
      </c>
      <c r="D19" s="121"/>
      <c r="F19" s="134" t="s">
        <v>373</v>
      </c>
      <c r="G19" s="121" t="s">
        <v>359</v>
      </c>
      <c r="H19" s="132"/>
      <c r="N19" s="132" t="s">
        <v>374</v>
      </c>
      <c r="O19" s="268" t="s">
        <v>375</v>
      </c>
    </row>
    <row r="20" spans="3:15" ht="23" customHeight="1">
      <c r="C20" s="162" t="s">
        <v>376</v>
      </c>
      <c r="D20" s="121"/>
      <c r="F20" s="134" t="s">
        <v>377</v>
      </c>
      <c r="G20" s="121" t="s">
        <v>323</v>
      </c>
      <c r="H20" s="132"/>
      <c r="N20" s="132" t="s">
        <v>378</v>
      </c>
      <c r="O20" s="268" t="s">
        <v>379</v>
      </c>
    </row>
    <row r="21" spans="3:15" ht="23" customHeight="1">
      <c r="F21" s="134" t="s">
        <v>380</v>
      </c>
      <c r="G21" s="121" t="s">
        <v>346</v>
      </c>
      <c r="H21" s="132"/>
      <c r="N21" s="132" t="s">
        <v>381</v>
      </c>
      <c r="O21" s="268" t="s">
        <v>382</v>
      </c>
    </row>
    <row r="22" spans="3:15" ht="23" customHeight="1">
      <c r="F22" s="134" t="s">
        <v>383</v>
      </c>
      <c r="G22" s="121" t="s">
        <v>349</v>
      </c>
      <c r="H22" s="132"/>
      <c r="N22" s="132" t="s">
        <v>384</v>
      </c>
      <c r="O22" s="268" t="s">
        <v>385</v>
      </c>
    </row>
    <row r="23" spans="3:15" ht="23" customHeight="1">
      <c r="F23" s="134" t="s">
        <v>386</v>
      </c>
      <c r="G23" s="31"/>
      <c r="H23" s="132"/>
      <c r="N23" s="132" t="s">
        <v>387</v>
      </c>
      <c r="O23" s="268" t="s">
        <v>388</v>
      </c>
    </row>
    <row r="24" spans="3:15" ht="23" customHeight="1">
      <c r="F24" s="134" t="s">
        <v>389</v>
      </c>
      <c r="G24" s="31"/>
      <c r="H24" s="132"/>
      <c r="N24" s="132" t="s">
        <v>390</v>
      </c>
      <c r="O24" s="268" t="s">
        <v>391</v>
      </c>
    </row>
    <row r="25" spans="3:15" ht="23" customHeight="1">
      <c r="F25" s="134" t="s">
        <v>392</v>
      </c>
      <c r="G25" s="31"/>
      <c r="H25" s="132"/>
      <c r="N25" s="132" t="s">
        <v>393</v>
      </c>
      <c r="O25" s="268" t="s">
        <v>394</v>
      </c>
    </row>
    <row r="26" spans="3:15" ht="23" customHeight="1">
      <c r="F26" s="134" t="s">
        <v>395</v>
      </c>
      <c r="G26" s="31"/>
      <c r="H26" s="132"/>
      <c r="N26" s="132" t="s">
        <v>396</v>
      </c>
      <c r="O26" s="268" t="s">
        <v>397</v>
      </c>
    </row>
    <row r="27" spans="3:15" ht="23" customHeight="1">
      <c r="F27" s="134" t="s">
        <v>398</v>
      </c>
      <c r="G27" s="31"/>
      <c r="H27" s="132"/>
      <c r="N27" s="132" t="s">
        <v>399</v>
      </c>
      <c r="O27" s="268" t="s">
        <v>400</v>
      </c>
    </row>
    <row r="28" spans="3:15" ht="23" customHeight="1">
      <c r="F28" s="135" t="s">
        <v>401</v>
      </c>
      <c r="G28" s="31"/>
      <c r="H28" s="132"/>
      <c r="N28" s="132" t="s">
        <v>402</v>
      </c>
      <c r="O28" s="268" t="s">
        <v>403</v>
      </c>
    </row>
    <row r="29" spans="3:15" ht="23" customHeight="1">
      <c r="F29" s="136" t="s">
        <v>404</v>
      </c>
      <c r="G29" s="31"/>
      <c r="H29" s="132"/>
      <c r="N29" s="132" t="s">
        <v>405</v>
      </c>
      <c r="O29" s="268" t="s">
        <v>406</v>
      </c>
    </row>
    <row r="30" spans="3:15" ht="23" customHeight="1">
      <c r="F30" s="136" t="s">
        <v>407</v>
      </c>
      <c r="G30" s="31"/>
      <c r="H30" s="132"/>
      <c r="N30" s="132" t="s">
        <v>408</v>
      </c>
      <c r="O30" s="268" t="s">
        <v>409</v>
      </c>
    </row>
    <row r="31" spans="3:15" ht="23" customHeight="1">
      <c r="F31" s="136" t="s">
        <v>410</v>
      </c>
      <c r="G31" s="31"/>
      <c r="H31" s="132"/>
      <c r="N31" s="132" t="s">
        <v>411</v>
      </c>
      <c r="O31" s="268" t="s">
        <v>412</v>
      </c>
    </row>
    <row r="32" spans="3:15" ht="23" customHeight="1">
      <c r="F32" s="136" t="s">
        <v>413</v>
      </c>
      <c r="G32" s="31"/>
      <c r="H32" s="132"/>
      <c r="N32" s="132" t="s">
        <v>414</v>
      </c>
      <c r="O32" s="268" t="s">
        <v>415</v>
      </c>
    </row>
    <row r="33" spans="6:15" ht="23" customHeight="1">
      <c r="F33" s="136" t="s">
        <v>416</v>
      </c>
      <c r="G33" s="31"/>
      <c r="H33" s="132"/>
      <c r="N33" s="132" t="s">
        <v>417</v>
      </c>
      <c r="O33" s="268" t="s">
        <v>418</v>
      </c>
    </row>
    <row r="34" spans="6:15" ht="23" customHeight="1">
      <c r="F34" s="136" t="s">
        <v>419</v>
      </c>
      <c r="G34" s="31"/>
      <c r="H34" s="132"/>
      <c r="N34" s="132"/>
      <c r="O34" s="268"/>
    </row>
    <row r="35" spans="6:15" ht="23" customHeight="1">
      <c r="F35" s="136" t="s">
        <v>420</v>
      </c>
      <c r="G35" s="31"/>
      <c r="H35" s="132"/>
      <c r="N35" s="132" t="s">
        <v>421</v>
      </c>
      <c r="O35" s="268" t="s">
        <v>422</v>
      </c>
    </row>
    <row r="36" spans="6:15" ht="23" customHeight="1">
      <c r="F36" s="136" t="s">
        <v>423</v>
      </c>
      <c r="G36" s="31"/>
      <c r="H36" s="132"/>
      <c r="N36" s="132" t="s">
        <v>424</v>
      </c>
      <c r="O36" s="268" t="s">
        <v>425</v>
      </c>
    </row>
    <row r="37" spans="6:15" ht="23" customHeight="1">
      <c r="F37" s="136" t="s">
        <v>426</v>
      </c>
      <c r="G37" s="31"/>
      <c r="H37" s="132"/>
      <c r="N37" s="132" t="s">
        <v>427</v>
      </c>
      <c r="O37" s="268" t="s">
        <v>428</v>
      </c>
    </row>
    <row r="38" spans="6:15" ht="23" customHeight="1">
      <c r="F38" s="136" t="s">
        <v>429</v>
      </c>
      <c r="G38" s="31"/>
      <c r="H38" s="132"/>
      <c r="N38" s="132" t="s">
        <v>430</v>
      </c>
      <c r="O38" s="268" t="s">
        <v>431</v>
      </c>
    </row>
    <row r="39" spans="6:15" ht="23" customHeight="1">
      <c r="F39" s="136" t="s">
        <v>432</v>
      </c>
      <c r="G39" s="31"/>
      <c r="H39" s="132"/>
      <c r="N39" s="132" t="s">
        <v>433</v>
      </c>
      <c r="O39" s="268" t="s">
        <v>434</v>
      </c>
    </row>
    <row r="40" spans="6:15" ht="23" customHeight="1">
      <c r="F40" s="136" t="s">
        <v>435</v>
      </c>
      <c r="G40" s="31"/>
      <c r="H40" s="132"/>
      <c r="N40" s="132" t="s">
        <v>436</v>
      </c>
      <c r="O40" s="268" t="s">
        <v>437</v>
      </c>
    </row>
    <row r="41" spans="6:15" ht="23" customHeight="1">
      <c r="F41" s="136" t="s">
        <v>438</v>
      </c>
      <c r="G41" s="31"/>
      <c r="H41" s="132"/>
      <c r="N41" s="132" t="s">
        <v>439</v>
      </c>
      <c r="O41" s="268" t="s">
        <v>440</v>
      </c>
    </row>
    <row r="42" spans="6:15" ht="23" customHeight="1">
      <c r="F42" s="136" t="s">
        <v>441</v>
      </c>
      <c r="G42" s="31"/>
      <c r="H42" s="132"/>
      <c r="N42" s="132" t="s">
        <v>442</v>
      </c>
      <c r="O42" s="268" t="s">
        <v>443</v>
      </c>
    </row>
    <row r="43" spans="6:15" ht="23" customHeight="1">
      <c r="F43" s="136" t="s">
        <v>444</v>
      </c>
      <c r="G43" s="31"/>
      <c r="H43" s="132"/>
      <c r="N43" s="132" t="s">
        <v>445</v>
      </c>
      <c r="O43" s="268" t="s">
        <v>446</v>
      </c>
    </row>
    <row r="44" spans="6:15" ht="23" customHeight="1">
      <c r="F44" s="136" t="s">
        <v>447</v>
      </c>
      <c r="G44" s="31"/>
      <c r="H44" s="132"/>
      <c r="N44" s="132" t="s">
        <v>448</v>
      </c>
      <c r="O44" s="268" t="s">
        <v>449</v>
      </c>
    </row>
    <row r="45" spans="6:15" ht="23" customHeight="1">
      <c r="F45" s="136" t="s">
        <v>450</v>
      </c>
      <c r="G45" s="31"/>
      <c r="H45" s="132"/>
      <c r="N45" s="132" t="s">
        <v>451</v>
      </c>
      <c r="O45" s="268" t="s">
        <v>452</v>
      </c>
    </row>
    <row r="46" spans="6:15" ht="23" customHeight="1">
      <c r="F46" s="136" t="s">
        <v>453</v>
      </c>
      <c r="G46" s="31"/>
      <c r="H46" s="132"/>
      <c r="N46" s="132" t="s">
        <v>454</v>
      </c>
      <c r="O46" s="268" t="s">
        <v>455</v>
      </c>
    </row>
    <row r="47" spans="6:15" ht="23" customHeight="1">
      <c r="F47" s="137" t="s">
        <v>456</v>
      </c>
      <c r="G47" s="31"/>
      <c r="H47" s="132"/>
      <c r="N47" s="132" t="s">
        <v>457</v>
      </c>
      <c r="O47" s="268" t="s">
        <v>458</v>
      </c>
    </row>
    <row r="48" spans="6:15" ht="23" customHeight="1">
      <c r="F48" s="136" t="s">
        <v>459</v>
      </c>
      <c r="G48" s="31"/>
      <c r="H48" s="132"/>
      <c r="N48" s="132" t="s">
        <v>460</v>
      </c>
      <c r="O48" s="268" t="s">
        <v>461</v>
      </c>
    </row>
    <row r="49" spans="6:15" ht="23" customHeight="1">
      <c r="F49" s="136" t="s">
        <v>462</v>
      </c>
      <c r="G49" s="31"/>
      <c r="H49" s="132"/>
      <c r="N49" s="132"/>
      <c r="O49" s="268"/>
    </row>
    <row r="50" spans="6:15" ht="23" customHeight="1">
      <c r="F50" s="136" t="s">
        <v>463</v>
      </c>
      <c r="G50" s="31"/>
      <c r="H50" s="132"/>
      <c r="N50" s="132" t="s">
        <v>464</v>
      </c>
      <c r="O50" s="268" t="s">
        <v>465</v>
      </c>
    </row>
    <row r="51" spans="6:15" ht="23" customHeight="1">
      <c r="F51" s="136" t="s">
        <v>466</v>
      </c>
      <c r="G51" s="31"/>
      <c r="H51" s="132"/>
      <c r="N51" s="132"/>
      <c r="O51" s="268"/>
    </row>
    <row r="52" spans="6:15" ht="23" customHeight="1">
      <c r="F52" s="138" t="s">
        <v>467</v>
      </c>
      <c r="G52" s="31"/>
      <c r="H52" s="132"/>
    </row>
    <row r="53" spans="6:15" ht="23" customHeight="1">
      <c r="F53" s="138" t="s">
        <v>468</v>
      </c>
      <c r="G53" s="31"/>
      <c r="H53" s="132"/>
    </row>
    <row r="54" spans="6:15" ht="23" customHeight="1">
      <c r="F54" s="138" t="s">
        <v>469</v>
      </c>
      <c r="G54" s="31"/>
      <c r="H54" s="132"/>
    </row>
    <row r="55" spans="6:15" ht="23" customHeight="1">
      <c r="F55" s="138" t="s">
        <v>470</v>
      </c>
      <c r="G55" s="31"/>
      <c r="H55" s="132"/>
    </row>
    <row r="56" spans="6:15" ht="23" customHeight="1">
      <c r="F56" s="138" t="s">
        <v>471</v>
      </c>
      <c r="G56" s="31"/>
      <c r="H56" s="132"/>
    </row>
    <row r="57" spans="6:15" ht="23" customHeight="1">
      <c r="F57" s="138" t="s">
        <v>472</v>
      </c>
      <c r="G57" s="31"/>
      <c r="H57" s="132"/>
    </row>
    <row r="58" spans="6:15" ht="23" customHeight="1">
      <c r="F58" s="138" t="s">
        <v>33</v>
      </c>
      <c r="G58" s="31"/>
      <c r="H58" s="132"/>
    </row>
    <row r="59" spans="6:15" ht="23" customHeight="1">
      <c r="F59" s="138" t="s">
        <v>473</v>
      </c>
      <c r="G59" s="31"/>
      <c r="H59" s="132"/>
    </row>
    <row r="60" spans="6:15" ht="23" customHeight="1">
      <c r="F60" s="138" t="s">
        <v>474</v>
      </c>
      <c r="G60" s="31"/>
      <c r="H60" s="132"/>
    </row>
    <row r="61" spans="6:15" ht="23" customHeight="1">
      <c r="F61" s="138" t="s">
        <v>475</v>
      </c>
      <c r="G61" s="31"/>
      <c r="H61" s="132"/>
    </row>
    <row r="62" spans="6:15" ht="23" customHeight="1">
      <c r="F62" s="138" t="s">
        <v>476</v>
      </c>
      <c r="G62" s="31"/>
      <c r="H62" s="132"/>
    </row>
    <row r="63" spans="6:15" ht="23" customHeight="1">
      <c r="F63" s="138" t="s">
        <v>477</v>
      </c>
      <c r="G63" s="31"/>
      <c r="H63" s="132"/>
    </row>
    <row r="64" spans="6:15" ht="23" customHeight="1">
      <c r="F64" s="138" t="s">
        <v>478</v>
      </c>
      <c r="G64" s="31"/>
      <c r="H64" s="132"/>
    </row>
    <row r="65" spans="6:8" ht="23" customHeight="1">
      <c r="F65" s="138" t="s">
        <v>479</v>
      </c>
      <c r="G65" s="31"/>
      <c r="H65" s="132"/>
    </row>
    <row r="66" spans="6:8" ht="23" customHeight="1">
      <c r="F66" s="138" t="str">
        <f>UPPER("Computely.io Technology")</f>
        <v>COMPUTELY.IO TECHNOLOGY</v>
      </c>
      <c r="G66" s="31"/>
      <c r="H66" s="132"/>
    </row>
    <row r="67" spans="6:8" ht="23" customHeight="1">
      <c r="F67" s="138" t="s">
        <v>480</v>
      </c>
      <c r="G67" s="31"/>
      <c r="H67" s="132"/>
    </row>
    <row r="68" spans="6:8" ht="23" customHeight="1">
      <c r="F68" s="138" t="s">
        <v>481</v>
      </c>
      <c r="G68" s="31"/>
      <c r="H68" s="132"/>
    </row>
    <row r="69" spans="6:8" ht="23" customHeight="1">
      <c r="F69" s="138" t="s">
        <v>482</v>
      </c>
      <c r="G69" s="31"/>
      <c r="H69" s="132"/>
    </row>
    <row r="70" spans="6:8" ht="23" customHeight="1">
      <c r="F70" s="138" t="s">
        <v>483</v>
      </c>
      <c r="G70" s="31"/>
      <c r="H70" s="132"/>
    </row>
    <row r="71" spans="6:8" ht="23" customHeight="1">
      <c r="F71" s="136" t="s">
        <v>484</v>
      </c>
      <c r="G71" s="31"/>
      <c r="H71" s="132"/>
    </row>
    <row r="72" spans="6:8" ht="23" customHeight="1">
      <c r="F72" s="136" t="s">
        <v>485</v>
      </c>
      <c r="G72" s="31"/>
      <c r="H72" s="132"/>
    </row>
    <row r="73" spans="6:8" ht="23" customHeight="1">
      <c r="F73" s="136" t="s">
        <v>486</v>
      </c>
      <c r="G73" s="31"/>
      <c r="H73" s="132"/>
    </row>
    <row r="74" spans="6:8" ht="23" customHeight="1">
      <c r="F74" s="136" t="s">
        <v>487</v>
      </c>
      <c r="G74" s="31"/>
      <c r="H74" s="132"/>
    </row>
    <row r="75" spans="6:8" ht="23" customHeight="1">
      <c r="F75" s="136" t="s">
        <v>488</v>
      </c>
      <c r="G75" s="31"/>
      <c r="H75" s="132"/>
    </row>
    <row r="76" spans="6:8" ht="23" customHeight="1">
      <c r="F76" s="136" t="s">
        <v>489</v>
      </c>
      <c r="G76" s="31"/>
      <c r="H76" s="13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CFA31-227E-9747-89A1-A0D405DE7706}">
  <sheetPr codeName="Sheet5"/>
  <dimension ref="A1:AE232"/>
  <sheetViews>
    <sheetView showGridLines="0" tabSelected="1" topLeftCell="K1" zoomScale="80" zoomScaleNormal="80" workbookViewId="0">
      <pane ySplit="2" topLeftCell="A207" activePane="bottomLeft" state="frozen"/>
      <selection pane="bottomLeft" activeCell="U233" sqref="U233"/>
    </sheetView>
  </sheetViews>
  <sheetFormatPr baseColWidth="10" defaultColWidth="11.1640625" defaultRowHeight="15" customHeight="1"/>
  <cols>
    <col min="1" max="1" width="38" customWidth="1"/>
    <col min="2" max="2" width="22.6640625" customWidth="1"/>
    <col min="3" max="3" width="21.6640625" customWidth="1"/>
    <col min="4" max="4" width="8" customWidth="1"/>
    <col min="5" max="5" width="8.1640625" customWidth="1"/>
    <col min="6" max="6" width="8.6640625" customWidth="1"/>
    <col min="7" max="9" width="8.83203125" customWidth="1"/>
    <col min="10" max="10" width="7.1640625" customWidth="1"/>
    <col min="11" max="11" width="19.33203125" customWidth="1"/>
    <col min="12" max="12" width="21.83203125" customWidth="1"/>
    <col min="13" max="13" width="18.33203125" customWidth="1"/>
    <col min="14" max="14" width="14.6640625" bestFit="1" customWidth="1"/>
    <col min="15" max="15" width="11.5" customWidth="1"/>
    <col min="16" max="16" width="11.1640625" bestFit="1" customWidth="1"/>
    <col min="17" max="17" width="11.5" customWidth="1"/>
    <col min="18" max="19" width="6.83203125" customWidth="1"/>
    <col min="20" max="20" width="6.1640625" customWidth="1"/>
    <col min="21" max="21" width="6.33203125" customWidth="1"/>
    <col min="22" max="22" width="15.5" customWidth="1"/>
    <col min="23" max="23" width="19" customWidth="1"/>
    <col min="24" max="24" width="15.33203125" customWidth="1"/>
    <col min="25" max="25" width="14.5" bestFit="1" customWidth="1"/>
    <col min="26" max="26" width="24.5" customWidth="1"/>
    <col min="27" max="27" width="14.6640625" bestFit="1" customWidth="1"/>
    <col min="28" max="28" width="16.83203125" bestFit="1" customWidth="1"/>
    <col min="29" max="29" width="8.83203125" customWidth="1"/>
    <col min="30" max="30" width="16.83203125" bestFit="1" customWidth="1"/>
    <col min="31" max="31" width="8.83203125" customWidth="1"/>
    <col min="32" max="32" width="13.83203125" customWidth="1"/>
    <col min="33" max="38" width="10.5" customWidth="1"/>
  </cols>
  <sheetData>
    <row r="1" spans="1:39" ht="16" customHeight="1">
      <c r="D1" s="218"/>
      <c r="E1" s="218"/>
      <c r="F1" s="218"/>
      <c r="G1" s="218" t="s">
        <v>490</v>
      </c>
      <c r="H1" s="218"/>
      <c r="I1" s="218"/>
      <c r="J1" s="193"/>
      <c r="K1" s="217"/>
      <c r="L1" s="217"/>
      <c r="M1" s="194" t="s">
        <v>134</v>
      </c>
      <c r="N1" s="217"/>
      <c r="O1" s="217"/>
      <c r="P1" s="217"/>
      <c r="Q1" s="194"/>
      <c r="R1" s="219"/>
      <c r="S1" s="219"/>
      <c r="T1" s="219" t="s">
        <v>135</v>
      </c>
      <c r="U1" s="219"/>
      <c r="V1" s="219"/>
      <c r="W1" s="224"/>
      <c r="X1" s="224"/>
      <c r="Y1" s="224" t="s">
        <v>134</v>
      </c>
      <c r="Z1" s="224"/>
      <c r="AA1" s="225"/>
      <c r="AB1" s="225"/>
      <c r="AC1" s="225" t="s">
        <v>491</v>
      </c>
      <c r="AD1" s="225"/>
      <c r="AE1" s="225"/>
    </row>
    <row r="2">
      <c r="A2" t="inlineStr">
        <is>
          <t>Bloomwell</t>
        </is>
      </c>
      <c r="B2" t="inlineStr">
        <is>
          <t>Saúde</t>
        </is>
      </c>
      <c r="G2" t="inlineStr">
        <is>
          <t>X</t>
        </is>
      </c>
      <c r="J2">
        <f>COUNTA(D2:I2)</f>
      </c>
      <c r="K2" t="inlineStr">
        <is>
          <t>Projeto</t>
        </is>
      </c>
      <c r="L2" t="inlineStr">
        <is>
          <t>Orçamento</t>
        </is>
      </c>
      <c r="M2">
        <v>15580.00</v>
      </c>
      <c r="O2" t="inlineStr">
        <is>
          <t>Fev</t>
        </is>
      </c>
      <c r="P2" t="inlineStr">
        <is>
          <t>Q1</t>
        </is>
      </c>
      <c r="Q2">
        <v>2024</v>
      </c>
      <c r="S2">
        <v>1</v>
      </c>
      <c r="T2">
        <v>1</v>
      </c>
      <c r="V2">
        <f>SUM(R2:U2)</f>
      </c>
      <c r="X2" t="inlineStr">
        <is>
          <t>Ganho</t>
        </is>
      </c>
      <c r="AA2">
        <v>21935.00</v>
      </c>
      <c r="AB2">
        <v>21935.00</v>
      </c>
      <c r="AC2">
        <f>AB2/AA2</f>
      </c>
      <c r="AD2">
        <f>AB2/2*12</f>
      </c>
      <c r="AE2">
        <v>2</v>
      </c>
    </row>
    <row r="3">
      <c r="A3" t="inlineStr">
        <is>
          <t>Cabriz</t>
        </is>
      </c>
      <c r="B3" t="inlineStr">
        <is>
          <t>Bebidas</t>
        </is>
      </c>
      <c r="I3" t="inlineStr">
        <is>
          <t>X</t>
        </is>
      </c>
      <c r="J3">
        <f>COUNTA(D3:I3)</f>
      </c>
      <c r="K3" t="inlineStr">
        <is>
          <t>Projeto</t>
        </is>
      </c>
      <c r="L3" t="inlineStr">
        <is>
          <t>Criatividade</t>
        </is>
      </c>
      <c r="O3" t="inlineStr">
        <is>
          <t>Fev</t>
        </is>
      </c>
      <c r="P3" t="inlineStr">
        <is>
          <t>Q1</t>
        </is>
      </c>
      <c r="Q3">
        <v>2024</v>
      </c>
      <c r="S3">
        <v>1</v>
      </c>
      <c r="V3">
        <f>SUM(R3:U3)</f>
      </c>
      <c r="X3" t="inlineStr">
        <is>
          <t>Ganho</t>
        </is>
      </c>
      <c r="AA3">
        <v>73910.95</v>
      </c>
      <c r="AB3">
        <v>37056.79</v>
      </c>
      <c r="AC3">
        <f>AB3/AA3</f>
      </c>
      <c r="AD3">
        <f>AB3/2*12</f>
      </c>
      <c r="AE3">
        <v>2</v>
      </c>
    </row>
    <row r="4">
      <c r="A4" t="inlineStr">
        <is>
          <t>Garrafeira Soares</t>
        </is>
      </c>
      <c r="B4" t="inlineStr">
        <is>
          <t>Retalho Direto</t>
        </is>
      </c>
      <c r="F4" t="inlineStr">
        <is>
          <t>X</t>
        </is>
      </c>
      <c r="J4">
        <f>COUNTA(D4:I4)</f>
      </c>
      <c r="K4" t="inlineStr">
        <is>
          <t>Projeto</t>
        </is>
      </c>
      <c r="L4" t="inlineStr">
        <is>
          <t>Orçamento</t>
        </is>
      </c>
      <c r="M4">
        <v>10072.00</v>
      </c>
      <c r="O4" t="inlineStr">
        <is>
          <t>Fev</t>
        </is>
      </c>
      <c r="P4" t="inlineStr">
        <is>
          <t>Q1</t>
        </is>
      </c>
      <c r="Q4">
        <v>2024</v>
      </c>
      <c r="R4">
        <v>1</v>
      </c>
      <c r="S4">
        <v>1</v>
      </c>
      <c r="U4">
        <v>1</v>
      </c>
      <c r="V4">
        <f>SUM(R4:U4)</f>
      </c>
      <c r="W4" t="inlineStr">
        <is>
          <t>Antigo Cliente NOVA</t>
        </is>
      </c>
      <c r="X4" t="inlineStr">
        <is>
          <t>Perdido</t>
        </is>
      </c>
      <c r="AC4">
        <f>AB4/AA4</f>
      </c>
      <c r="AD4">
        <f>AB4/2*12</f>
      </c>
    </row>
    <row r="5">
      <c r="A5" t="inlineStr">
        <is>
          <t>Westwing</t>
        </is>
      </c>
      <c r="B5" t="inlineStr">
        <is>
          <t>Retalho Direto</t>
        </is>
      </c>
      <c r="I5" t="inlineStr">
        <is>
          <t>X</t>
        </is>
      </c>
      <c r="J5">
        <f>COUNTA(D5:I5)</f>
      </c>
      <c r="K5" t="inlineStr">
        <is>
          <t>Fee</t>
        </is>
      </c>
      <c r="L5" t="inlineStr">
        <is>
          <t>Orçamento</t>
        </is>
      </c>
      <c r="O5" t="inlineStr">
        <is>
          <t>Fev</t>
        </is>
      </c>
      <c r="P5" t="inlineStr">
        <is>
          <t>Q1</t>
        </is>
      </c>
      <c r="Q5">
        <v>2024</v>
      </c>
      <c r="R5">
        <v>1</v>
      </c>
      <c r="T5">
        <v>1</v>
      </c>
      <c r="V5">
        <f>SUM(R5:U5)</f>
      </c>
      <c r="X5" t="inlineStr">
        <is>
          <t>Perdido</t>
        </is>
      </c>
      <c r="AC5">
        <f>AB5/AA5</f>
      </c>
      <c r="AD5">
        <f>AB5/2*12</f>
      </c>
    </row>
    <row r="6">
      <c r="A6" t="inlineStr">
        <is>
          <t>Alberto Oculista</t>
        </is>
      </c>
      <c r="F6" t="inlineStr">
        <is>
          <t>X</t>
        </is>
      </c>
      <c r="J6">
        <f>COUNTA(D6:I6)</f>
      </c>
      <c r="K6" t="inlineStr">
        <is>
          <t>Fee</t>
        </is>
      </c>
      <c r="L6" t="inlineStr">
        <is>
          <t>Estratégia</t>
        </is>
      </c>
      <c r="O6" t="inlineStr">
        <is>
          <t>Fev</t>
        </is>
      </c>
      <c r="P6" t="inlineStr">
        <is>
          <t>Q1</t>
        </is>
      </c>
      <c r="Q6">
        <v>2024</v>
      </c>
      <c r="T6">
        <v>1</v>
      </c>
      <c r="V6">
        <f>SUM(R6:U6)</f>
      </c>
      <c r="X6" t="inlineStr">
        <is>
          <t>Rejeitado</t>
        </is>
      </c>
      <c r="AC6">
        <f>AB6/AA6</f>
      </c>
      <c r="AD6">
        <f>AB6/2*12</f>
      </c>
    </row>
    <row r="7">
      <c r="A7" t="inlineStr">
        <is>
          <t>321 Crédito</t>
        </is>
      </c>
      <c r="F7" t="inlineStr">
        <is>
          <t>X</t>
        </is>
      </c>
      <c r="J7">
        <f>COUNTA(D7:I7)</f>
      </c>
      <c r="K7" t="inlineStr">
        <is>
          <t>Fee</t>
        </is>
      </c>
      <c r="L7" t="inlineStr">
        <is>
          <t>Orçamento</t>
        </is>
      </c>
      <c r="O7" t="inlineStr">
        <is>
          <t>Fev</t>
        </is>
      </c>
      <c r="P7" t="inlineStr">
        <is>
          <t>Q1</t>
        </is>
      </c>
      <c r="Q7">
        <v>2024</v>
      </c>
      <c r="V7">
        <f>SUM(R7:U7)</f>
      </c>
      <c r="X7" t="inlineStr">
        <is>
          <t>Rejeitado</t>
        </is>
      </c>
      <c r="AC7">
        <f>AB7/AA7</f>
      </c>
      <c r="AD7">
        <f>AB7/2*12</f>
      </c>
    </row>
    <row r="8">
      <c r="A8" t="inlineStr">
        <is>
          <t>Disney</t>
        </is>
      </c>
      <c r="B8" t="inlineStr">
        <is>
          <t>Entretenimento</t>
        </is>
      </c>
      <c r="H8" t="inlineStr">
        <is>
          <t>X</t>
        </is>
      </c>
      <c r="J8">
        <f>COUNTA(D8:I8)</f>
      </c>
      <c r="K8" t="inlineStr">
        <is>
          <t>Fee</t>
        </is>
      </c>
      <c r="L8" t="inlineStr">
        <is>
          <t>Estratégia</t>
        </is>
      </c>
      <c r="O8" t="inlineStr">
        <is>
          <t>Jan</t>
        </is>
      </c>
      <c r="P8" t="inlineStr">
        <is>
          <t>Q1</t>
        </is>
      </c>
      <c r="Q8">
        <v>2024</v>
      </c>
      <c r="R8">
        <v>1</v>
      </c>
      <c r="S8">
        <v>1</v>
      </c>
      <c r="U8">
        <v>1</v>
      </c>
      <c r="V8">
        <f>SUM(R8:U8)</f>
      </c>
      <c r="W8" t="inlineStr">
        <is>
          <t>Atual Cliente Nossa</t>
        </is>
      </c>
      <c r="X8" t="inlineStr">
        <is>
          <t>Ganho</t>
        </is>
      </c>
      <c r="AC8">
        <f>AB8/AA8</f>
      </c>
      <c r="AD8">
        <f>AB8/2*12</f>
      </c>
      <c r="AE8">
        <v>3</v>
      </c>
    </row>
    <row r="9">
      <c r="A9" t="inlineStr">
        <is>
          <t>Madeira</t>
        </is>
      </c>
      <c r="B9" t="inlineStr">
        <is>
          <t>Turismo</t>
        </is>
      </c>
      <c r="G9" t="inlineStr">
        <is>
          <t>X</t>
        </is>
      </c>
      <c r="J9">
        <f>COUNTA(D9:I9)</f>
      </c>
      <c r="K9" t="inlineStr">
        <is>
          <t>Fee</t>
        </is>
      </c>
      <c r="L9" t="inlineStr">
        <is>
          <t>Orçamento</t>
        </is>
      </c>
      <c r="O9" t="inlineStr">
        <is>
          <t>Jan</t>
        </is>
      </c>
      <c r="P9" t="inlineStr">
        <is>
          <t>Q1</t>
        </is>
      </c>
      <c r="Q9">
        <v>2024</v>
      </c>
      <c r="T9">
        <v>1</v>
      </c>
      <c r="U9">
        <v>1</v>
      </c>
      <c r="V9">
        <f>SUM(R9:U9)</f>
      </c>
      <c r="W9" t="inlineStr">
        <is>
          <t>Atual Cliente Nossa</t>
        </is>
      </c>
      <c r="X9" t="inlineStr">
        <is>
          <t>Ganho</t>
        </is>
      </c>
      <c r="AA9">
        <v>7702.00</v>
      </c>
      <c r="AB9">
        <v>7216.00</v>
      </c>
      <c r="AC9">
        <f>AB9/AA9</f>
      </c>
      <c r="AD9">
        <f>AB9/2*12</f>
      </c>
      <c r="AE9">
        <v>3</v>
      </c>
    </row>
    <row r="10">
      <c r="A10" t="inlineStr">
        <is>
          <t>Details - Norfin</t>
        </is>
      </c>
      <c r="B10" t="inlineStr">
        <is>
          <t>Hotelaria</t>
        </is>
      </c>
      <c r="F10" t="inlineStr">
        <is>
          <t>X</t>
        </is>
      </c>
      <c r="G10" t="inlineStr">
        <is>
          <t>X</t>
        </is>
      </c>
      <c r="J10">
        <f>COUNTA(D10:I10)</f>
      </c>
      <c r="K10" t="inlineStr">
        <is>
          <t>Projeto</t>
        </is>
      </c>
      <c r="L10" t="inlineStr">
        <is>
          <t>Estratégia</t>
        </is>
      </c>
      <c r="M10">
        <v>38451.00</v>
      </c>
      <c r="O10" t="inlineStr">
        <is>
          <t>Jan</t>
        </is>
      </c>
      <c r="P10" t="inlineStr">
        <is>
          <t>Q1</t>
        </is>
      </c>
      <c r="Q10">
        <v>2024</v>
      </c>
      <c r="T10">
        <v>1</v>
      </c>
      <c r="V10">
        <f>SUM(R10:U10)</f>
      </c>
      <c r="X10" t="inlineStr">
        <is>
          <t>Ganho</t>
        </is>
      </c>
      <c r="AA10">
        <v>39273.55</v>
      </c>
      <c r="AB10">
        <v>39169.15</v>
      </c>
      <c r="AC10">
        <f>AB10/AA10</f>
      </c>
      <c r="AD10">
        <f>AB10/2*12</f>
      </c>
      <c r="AE10">
        <v>2</v>
      </c>
    </row>
    <row r="11">
      <c r="A11" t="inlineStr">
        <is>
          <t>Mundu Nobu</t>
        </is>
      </c>
      <c r="B11" t="inlineStr">
        <is>
          <t>Cultura</t>
        </is>
      </c>
      <c r="I11" t="inlineStr">
        <is>
          <t>X</t>
        </is>
      </c>
      <c r="J11">
        <f>COUNTA(D11:I11)</f>
      </c>
      <c r="K11" t="inlineStr">
        <is>
          <t>Projeto</t>
        </is>
      </c>
      <c r="L11" t="inlineStr">
        <is>
          <t>Orçamento</t>
        </is>
      </c>
      <c r="O11" t="inlineStr">
        <is>
          <t>Jan</t>
        </is>
      </c>
      <c r="P11" t="inlineStr">
        <is>
          <t>Q1</t>
        </is>
      </c>
      <c r="Q11">
        <v>2024</v>
      </c>
      <c r="S11">
        <v>1</v>
      </c>
      <c r="U11">
        <v>1</v>
      </c>
      <c r="V11">
        <f>SUM(R11:U11)</f>
      </c>
      <c r="W11" t="inlineStr">
        <is>
          <t>Causa e Amigo do Duarte</t>
        </is>
      </c>
      <c r="X11" t="inlineStr">
        <is>
          <t>Perdido</t>
        </is>
      </c>
      <c r="AC11">
        <f>AB11/AA11</f>
      </c>
      <c r="AD11">
        <f>AB11/2*12</f>
      </c>
    </row>
    <row r="12">
      <c r="A12" t="inlineStr">
        <is>
          <t>UIP (3 Marcas)</t>
        </is>
      </c>
      <c r="B12" t="inlineStr">
        <is>
          <t>Hotelaria</t>
        </is>
      </c>
      <c r="F12" t="inlineStr">
        <is>
          <t>X</t>
        </is>
      </c>
      <c r="J12">
        <f>COUNTA(D12:I12)</f>
      </c>
      <c r="K12" t="inlineStr">
        <is>
          <t>Fee</t>
        </is>
      </c>
      <c r="L12" t="inlineStr">
        <is>
          <t>Orçamento</t>
        </is>
      </c>
      <c r="M12">
        <v>103235.00</v>
      </c>
      <c r="O12" t="inlineStr">
        <is>
          <t>Jan</t>
        </is>
      </c>
      <c r="P12" t="inlineStr">
        <is>
          <t>Q1</t>
        </is>
      </c>
      <c r="Q12">
        <v>2024</v>
      </c>
      <c r="T12">
        <v>1</v>
      </c>
      <c r="V12">
        <f>SUM(R12:U12)</f>
      </c>
      <c r="X12" t="inlineStr">
        <is>
          <t>Perdido</t>
        </is>
      </c>
      <c r="AC12">
        <f>AB12/AA12</f>
      </c>
      <c r="AD12">
        <f>AB12/2*12</f>
      </c>
    </row>
    <row r="13">
      <c r="A13" t="inlineStr">
        <is>
          <t>TDA Rental (3 Marcas)</t>
        </is>
      </c>
      <c r="B13" t="inlineStr">
        <is>
          <t>Transportes</t>
        </is>
      </c>
      <c r="F13" t="inlineStr">
        <is>
          <t>X</t>
        </is>
      </c>
      <c r="J13">
        <f>COUNTA(D13:I13)</f>
      </c>
      <c r="K13" t="inlineStr">
        <is>
          <t>Fee</t>
        </is>
      </c>
      <c r="L13" t="inlineStr">
        <is>
          <t>Orçamento</t>
        </is>
      </c>
      <c r="M13">
        <v>110790.00</v>
      </c>
      <c r="O13" t="inlineStr">
        <is>
          <t>Jan</t>
        </is>
      </c>
      <c r="P13" t="inlineStr">
        <is>
          <t>Q1</t>
        </is>
      </c>
      <c r="Q13">
        <v>2024</v>
      </c>
      <c r="T13">
        <v>1</v>
      </c>
      <c r="V13">
        <f>SUM(R13:U13)</f>
      </c>
      <c r="X13" t="inlineStr">
        <is>
          <t>Perdido</t>
        </is>
      </c>
      <c r="AC13">
        <f>AB13/AA13</f>
      </c>
      <c r="AD13">
        <f>AB13/2*12</f>
      </c>
    </row>
    <row r="14">
      <c r="A14" t="inlineStr">
        <is>
          <t>Vinhos Verdes (CVRVV)</t>
        </is>
      </c>
      <c r="B14" t="inlineStr">
        <is>
          <t>Bebidas</t>
        </is>
      </c>
      <c r="I14" t="inlineStr">
        <is>
          <t>X</t>
        </is>
      </c>
      <c r="J14">
        <f>COUNTA(D14:I14)</f>
      </c>
      <c r="K14" t="inlineStr">
        <is>
          <t>Projeto</t>
        </is>
      </c>
      <c r="L14" t="inlineStr">
        <is>
          <t>Criatividade</t>
        </is>
      </c>
      <c r="O14" t="inlineStr">
        <is>
          <t>Jan</t>
        </is>
      </c>
      <c r="P14" t="inlineStr">
        <is>
          <t>Q1</t>
        </is>
      </c>
      <c r="Q14">
        <v>2024</v>
      </c>
      <c r="S14">
        <v>1</v>
      </c>
      <c r="V14">
        <f>SUM(R14:U14)</f>
      </c>
      <c r="X14" t="inlineStr">
        <is>
          <t>Perdido</t>
        </is>
      </c>
      <c r="AC14">
        <f>AB14/AA14</f>
      </c>
      <c r="AD14">
        <f>AB14/2*12</f>
      </c>
    </row>
    <row r="15">
      <c r="A15" t="inlineStr">
        <is>
          <t>Hovione</t>
        </is>
      </c>
      <c r="H15" t="inlineStr">
        <is>
          <t>X</t>
        </is>
      </c>
      <c r="J15">
        <f>COUNTA(D15:I15)</f>
      </c>
      <c r="K15" t="inlineStr">
        <is>
          <t>Projeto</t>
        </is>
      </c>
      <c r="L15" t="inlineStr">
        <is>
          <t>Orçamento</t>
        </is>
      </c>
      <c r="O15" t="inlineStr">
        <is>
          <t>Jan</t>
        </is>
      </c>
      <c r="P15" t="inlineStr">
        <is>
          <t>Q1</t>
        </is>
      </c>
      <c r="Q15">
        <v>2024</v>
      </c>
      <c r="S15">
        <v>1</v>
      </c>
      <c r="V15">
        <f>SUM(R15:U15)</f>
      </c>
      <c r="X15" t="inlineStr">
        <is>
          <t>Perdido</t>
        </is>
      </c>
      <c r="AC15">
        <f>AB15/AA15</f>
      </c>
      <c r="AD15">
        <f>AB15/2*12</f>
      </c>
    </row>
    <row r="16">
      <c r="A16" t="inlineStr">
        <is>
          <t>Locarent</t>
        </is>
      </c>
      <c r="B16" t="inlineStr">
        <is>
          <t>Transportes</t>
        </is>
      </c>
      <c r="F16" t="inlineStr">
        <is>
          <t>X</t>
        </is>
      </c>
      <c r="J16">
        <f>COUNTA(D16:I16)</f>
      </c>
      <c r="K16" t="inlineStr">
        <is>
          <t>Fee</t>
        </is>
      </c>
      <c r="L16" t="inlineStr">
        <is>
          <t>Orçamento</t>
        </is>
      </c>
      <c r="O16" t="inlineStr">
        <is>
          <t>Jan</t>
        </is>
      </c>
      <c r="P16" t="inlineStr">
        <is>
          <t>Q1</t>
        </is>
      </c>
      <c r="Q16">
        <v>2024</v>
      </c>
      <c r="V16">
        <f>SUM(R16:U16)</f>
      </c>
      <c r="X16" t="inlineStr">
        <is>
          <t>Perdido</t>
        </is>
      </c>
      <c r="AC16">
        <f>AB16/AA16</f>
      </c>
      <c r="AD16">
        <f>AB16/2*12</f>
      </c>
    </row>
    <row r="17">
      <c r="A17" t="inlineStr">
        <is>
          <t>EasySlim Farmodiética</t>
        </is>
      </c>
      <c r="B17" t="inlineStr">
        <is>
          <t>Saúde</t>
        </is>
      </c>
      <c r="F17" t="inlineStr">
        <is>
          <t>X</t>
        </is>
      </c>
      <c r="J17">
        <f>COUNTA(D17:I17)</f>
      </c>
      <c r="K17" t="inlineStr">
        <is>
          <t>Fee</t>
        </is>
      </c>
      <c r="L17" t="inlineStr">
        <is>
          <t>Orçamento</t>
        </is>
      </c>
      <c r="O17" t="inlineStr">
        <is>
          <t>Jan</t>
        </is>
      </c>
      <c r="P17" t="inlineStr">
        <is>
          <t>Q1</t>
        </is>
      </c>
      <c r="Q17">
        <v>2024</v>
      </c>
      <c r="V17">
        <f>SUM(R17:U17)</f>
      </c>
      <c r="X17" t="inlineStr">
        <is>
          <t>Perdido</t>
        </is>
      </c>
      <c r="AC17">
        <f>AB17/AA17</f>
      </c>
      <c r="AD17">
        <f>AB17/2*12</f>
      </c>
    </row>
    <row r="18">
      <c r="A18" t="inlineStr">
        <is>
          <t>Asisa</t>
        </is>
      </c>
      <c r="F18" t="inlineStr">
        <is>
          <t>X</t>
        </is>
      </c>
      <c r="J18">
        <f>COUNTA(D18:I18)</f>
      </c>
      <c r="K18" t="inlineStr">
        <is>
          <t>Fee</t>
        </is>
      </c>
      <c r="L18" t="inlineStr">
        <is>
          <t>Orçamento</t>
        </is>
      </c>
      <c r="O18" t="inlineStr">
        <is>
          <t>Jan</t>
        </is>
      </c>
      <c r="P18" t="inlineStr">
        <is>
          <t>Q1</t>
        </is>
      </c>
      <c r="Q18">
        <v>2024</v>
      </c>
      <c r="T18">
        <v>1</v>
      </c>
      <c r="V18">
        <f>SUM(R18:U18)</f>
      </c>
      <c r="X18" t="inlineStr">
        <is>
          <t>Rejeitado</t>
        </is>
      </c>
      <c r="AC18">
        <f>AB18/AA18</f>
      </c>
      <c r="AD18">
        <f>AB18/2*12</f>
      </c>
    </row>
    <row r="19">
      <c r="A19" t="inlineStr">
        <is>
          <t>Margão</t>
        </is>
      </c>
      <c r="B19" t="inlineStr">
        <is>
          <t>Food</t>
        </is>
      </c>
      <c r="D19" t="inlineStr">
        <is>
          <t>X</t>
        </is>
      </c>
      <c r="G19" t="inlineStr">
        <is>
          <t>X</t>
        </is>
      </c>
      <c r="J19">
        <f>COUNTA(D19:I19)</f>
      </c>
      <c r="K19" t="inlineStr">
        <is>
          <t>Fee</t>
        </is>
      </c>
      <c r="L19" t="inlineStr">
        <is>
          <t>Orçamento</t>
        </is>
      </c>
      <c r="O19" t="inlineStr">
        <is>
          <t>Jan</t>
        </is>
      </c>
      <c r="P19" t="inlineStr">
        <is>
          <t>Q1</t>
        </is>
      </c>
      <c r="Q19">
        <v>2024</v>
      </c>
      <c r="R19">
        <v>1</v>
      </c>
      <c r="V19">
        <f>SUM(R19:U19)</f>
      </c>
      <c r="X19" t="inlineStr">
        <is>
          <t>Rejeitado</t>
        </is>
      </c>
      <c r="AC19">
        <f>AB19/AA19</f>
      </c>
      <c r="AD19">
        <f>AB19/2*12</f>
      </c>
    </row>
    <row r="20">
      <c r="A20" t="inlineStr">
        <is>
          <t>Lynxmind</t>
        </is>
      </c>
      <c r="F20" t="inlineStr">
        <is>
          <t>X</t>
        </is>
      </c>
      <c r="J20">
        <f>COUNTA(D20:I20)</f>
      </c>
      <c r="K20" t="inlineStr">
        <is>
          <t>Fee</t>
        </is>
      </c>
      <c r="L20" t="inlineStr">
        <is>
          <t>Orçamento</t>
        </is>
      </c>
      <c r="O20" t="inlineStr">
        <is>
          <t>Jan</t>
        </is>
      </c>
      <c r="P20" t="inlineStr">
        <is>
          <t>Q1</t>
        </is>
      </c>
      <c r="Q20">
        <v>2024</v>
      </c>
      <c r="V20">
        <f>SUM(R20:U20)</f>
      </c>
      <c r="X20" t="inlineStr">
        <is>
          <t>Rejeitado</t>
        </is>
      </c>
      <c r="AC20">
        <f>AB20/AA20</f>
      </c>
      <c r="AD20">
        <f>AB20/2*12</f>
      </c>
    </row>
    <row r="21">
      <c r="A21" t="inlineStr">
        <is>
          <t>Casal Garcia</t>
        </is>
      </c>
      <c r="B21" t="inlineStr">
        <is>
          <t>Bebidas</t>
        </is>
      </c>
      <c r="I21" t="inlineStr">
        <is>
          <t>X</t>
        </is>
      </c>
      <c r="J21">
        <f>COUNTA(D21:I21)</f>
      </c>
      <c r="K21" t="inlineStr">
        <is>
          <t>Projeto</t>
        </is>
      </c>
      <c r="L21" t="inlineStr">
        <is>
          <t>Criatividade</t>
        </is>
      </c>
      <c r="O21" t="inlineStr">
        <is>
          <t>Mar</t>
        </is>
      </c>
      <c r="P21" t="inlineStr">
        <is>
          <t>Q1</t>
        </is>
      </c>
      <c r="Q21">
        <v>2024</v>
      </c>
      <c r="R21">
        <v>1</v>
      </c>
      <c r="S21">
        <v>1</v>
      </c>
      <c r="U21">
        <v>1</v>
      </c>
      <c r="V21">
        <f>SUM(R21:U21)</f>
      </c>
      <c r="W21" t="inlineStr">
        <is>
          <t>Antigo Cliente</t>
        </is>
      </c>
      <c r="X21" t="inlineStr">
        <is>
          <t>Perdido</t>
        </is>
      </c>
      <c r="AC21">
        <f>AB21/AA21</f>
      </c>
      <c r="AD21">
        <f>AB21/2*12</f>
      </c>
    </row>
    <row r="22">
      <c r="A22" t="inlineStr">
        <is>
          <t>Arrow - Vilamoura Golf</t>
        </is>
      </c>
      <c r="B22" t="inlineStr">
        <is>
          <t>Hotelaria</t>
        </is>
      </c>
      <c r="H22" t="inlineStr">
        <is>
          <t>X</t>
        </is>
      </c>
      <c r="J22">
        <f>COUNTA(D22:I22)</f>
      </c>
      <c r="K22" t="inlineStr">
        <is>
          <t>Projeto</t>
        </is>
      </c>
      <c r="L22" t="inlineStr">
        <is>
          <t>Criatividade</t>
        </is>
      </c>
      <c r="O22" t="inlineStr">
        <is>
          <t>Mar</t>
        </is>
      </c>
      <c r="P22" t="inlineStr">
        <is>
          <t>Q1</t>
        </is>
      </c>
      <c r="Q22">
        <v>2024</v>
      </c>
      <c r="T22">
        <v>1</v>
      </c>
      <c r="U22">
        <v>1</v>
      </c>
      <c r="V22">
        <f>SUM(R22:U22)</f>
      </c>
      <c r="W22" t="inlineStr">
        <is>
          <t>Contacto cliente Norfin</t>
        </is>
      </c>
      <c r="X22" t="inlineStr">
        <is>
          <t>Perdido</t>
        </is>
      </c>
      <c r="AC22">
        <f>AB22/AA22</f>
      </c>
      <c r="AD22">
        <f>AB22/2*12</f>
      </c>
    </row>
    <row r="23">
      <c r="A23" t="inlineStr">
        <is>
          <t>Electrão</t>
        </is>
      </c>
      <c r="D23" t="inlineStr">
        <is>
          <t>X</t>
        </is>
      </c>
      <c r="J23">
        <f>COUNTA(D23:I23)</f>
      </c>
      <c r="K23" t="inlineStr">
        <is>
          <t>Projeto</t>
        </is>
      </c>
      <c r="L23" t="inlineStr">
        <is>
          <t>Criatividade</t>
        </is>
      </c>
      <c r="O23" t="inlineStr">
        <is>
          <t>Mar</t>
        </is>
      </c>
      <c r="P23" t="inlineStr">
        <is>
          <t>Q1</t>
        </is>
      </c>
      <c r="Q23">
        <v>2024</v>
      </c>
      <c r="T23">
        <v>1</v>
      </c>
      <c r="U23">
        <v>1</v>
      </c>
      <c r="V23">
        <f>SUM(R23:U23)</f>
      </c>
      <c r="X23" t="inlineStr">
        <is>
          <t>Perdido</t>
        </is>
      </c>
      <c r="AC23">
        <f>AB23/AA23</f>
      </c>
      <c r="AD23">
        <f>AB23/2*12</f>
      </c>
    </row>
    <row r="24">
      <c r="A24" t="inlineStr">
        <is>
          <t>Anpifert</t>
        </is>
      </c>
      <c r="G24" t="inlineStr">
        <is>
          <t>X</t>
        </is>
      </c>
      <c r="J24">
        <f>COUNTA(D24:I24)</f>
      </c>
      <c r="K24" t="inlineStr">
        <is>
          <t>Projeto</t>
        </is>
      </c>
      <c r="L24" t="inlineStr">
        <is>
          <t>Orçamento</t>
        </is>
      </c>
      <c r="M24">
        <v>4988.00</v>
      </c>
      <c r="O24" t="inlineStr">
        <is>
          <t>Mar</t>
        </is>
      </c>
      <c r="P24" t="inlineStr">
        <is>
          <t>Q1</t>
        </is>
      </c>
      <c r="Q24">
        <v>2024</v>
      </c>
      <c r="R24">
        <v>1</v>
      </c>
      <c r="U24">
        <v>1</v>
      </c>
      <c r="V24">
        <f>SUM(R24:U24)</f>
      </c>
      <c r="W24" t="inlineStr">
        <is>
          <t>Contacto de Cliente Agroges</t>
        </is>
      </c>
      <c r="X24" t="inlineStr">
        <is>
          <t>Perdido</t>
        </is>
      </c>
      <c r="AC24">
        <f>AB24/AA24</f>
      </c>
      <c r="AD24">
        <f>AB24/2*12</f>
      </c>
    </row>
    <row r="25">
      <c r="A25" t="inlineStr">
        <is>
          <t>Herdade Barrosinha</t>
        </is>
      </c>
      <c r="H25" t="inlineStr">
        <is>
          <t>X</t>
        </is>
      </c>
      <c r="J25">
        <f>COUNTA(D25:I25)</f>
      </c>
      <c r="K25" t="inlineStr">
        <is>
          <t>Projeto</t>
        </is>
      </c>
      <c r="L25" t="inlineStr">
        <is>
          <t>Orçamento</t>
        </is>
      </c>
      <c r="O25" t="inlineStr">
        <is>
          <t>Mar</t>
        </is>
      </c>
      <c r="P25" t="inlineStr">
        <is>
          <t>Q1</t>
        </is>
      </c>
      <c r="Q25">
        <v>2024</v>
      </c>
      <c r="S25">
        <v>1</v>
      </c>
      <c r="T25">
        <v>1</v>
      </c>
      <c r="V25">
        <f>SUM(R25:U25)</f>
      </c>
      <c r="X25" t="inlineStr">
        <is>
          <t>Perdido</t>
        </is>
      </c>
      <c r="AC25">
        <f>AB25/AA25</f>
      </c>
      <c r="AD25">
        <f>AB25/2*12</f>
      </c>
    </row>
    <row r="26">
      <c r="A26" t="inlineStr">
        <is>
          <t>Vale Pisão</t>
        </is>
      </c>
      <c r="H26" t="inlineStr">
        <is>
          <t>X</t>
        </is>
      </c>
      <c r="J26">
        <f>COUNTA(D26:I26)</f>
      </c>
      <c r="K26" t="inlineStr">
        <is>
          <t>Projeto</t>
        </is>
      </c>
      <c r="L26" t="inlineStr">
        <is>
          <t>Orçamento</t>
        </is>
      </c>
      <c r="O26" t="inlineStr">
        <is>
          <t>Mar</t>
        </is>
      </c>
      <c r="P26" t="inlineStr">
        <is>
          <t>Q1</t>
        </is>
      </c>
      <c r="Q26">
        <v>2024</v>
      </c>
      <c r="S26">
        <v>1</v>
      </c>
      <c r="T26">
        <v>1</v>
      </c>
      <c r="V26">
        <f>SUM(R26:U26)</f>
      </c>
      <c r="X26" t="inlineStr">
        <is>
          <t>Perdido</t>
        </is>
      </c>
      <c r="AC26">
        <f>AB26/AA26</f>
      </c>
      <c r="AD26">
        <f>AB26/2*12</f>
      </c>
    </row>
    <row r="27">
      <c r="A27" t="inlineStr">
        <is>
          <t>LVM Holding</t>
        </is>
      </c>
      <c r="F27" t="inlineStr">
        <is>
          <t>X</t>
        </is>
      </c>
      <c r="J27">
        <f>COUNTA(D27:I27)</f>
      </c>
      <c r="K27" t="inlineStr">
        <is>
          <t>Fee</t>
        </is>
      </c>
      <c r="L27" t="inlineStr">
        <is>
          <t>Orçamento</t>
        </is>
      </c>
      <c r="O27" t="inlineStr">
        <is>
          <t>Mar</t>
        </is>
      </c>
      <c r="P27" t="inlineStr">
        <is>
          <t>Q1</t>
        </is>
      </c>
      <c r="Q27">
        <v>2024</v>
      </c>
      <c r="R27">
        <v>1</v>
      </c>
      <c r="S27">
        <v>1</v>
      </c>
      <c r="V27">
        <f>SUM(R27:U27)</f>
      </c>
      <c r="X27" t="inlineStr">
        <is>
          <t>Rejeitado</t>
        </is>
      </c>
      <c r="AC27">
        <f>AB27/AA27</f>
      </c>
      <c r="AD27">
        <f>AB27/2*12</f>
      </c>
    </row>
    <row r="28">
      <c r="A28" t="inlineStr">
        <is>
          <t>PMI Tabaqueira</t>
        </is>
      </c>
      <c r="D28" t="inlineStr">
        <is>
          <t>X</t>
        </is>
      </c>
      <c r="H28" t="inlineStr">
        <is>
          <t>X</t>
        </is>
      </c>
      <c r="J28">
        <f>COUNTA(D28:I28)</f>
      </c>
      <c r="K28" t="inlineStr">
        <is>
          <t>Fee</t>
        </is>
      </c>
      <c r="L28" t="inlineStr">
        <is>
          <t>Orçamento</t>
        </is>
      </c>
      <c r="O28" t="inlineStr">
        <is>
          <t>Mar</t>
        </is>
      </c>
      <c r="P28" t="inlineStr">
        <is>
          <t>Q1</t>
        </is>
      </c>
      <c r="Q28">
        <v>2024</v>
      </c>
      <c r="R28">
        <v>1</v>
      </c>
      <c r="T28">
        <v>1</v>
      </c>
      <c r="V28">
        <f>SUM(R28:U28)</f>
      </c>
      <c r="X28" t="inlineStr">
        <is>
          <t>Rejeitado</t>
        </is>
      </c>
      <c r="AC28">
        <f>AB28/AA28</f>
      </c>
      <c r="AD28">
        <f>AB28/2*12</f>
      </c>
    </row>
    <row r="29">
      <c r="A29" t="inlineStr">
        <is>
          <t>Energético</t>
        </is>
      </c>
      <c r="D29" t="inlineStr">
        <is>
          <t>X</t>
        </is>
      </c>
      <c r="G29" t="inlineStr">
        <is>
          <t>X</t>
        </is>
      </c>
      <c r="H29" t="inlineStr">
        <is>
          <t>X</t>
        </is>
      </c>
      <c r="J29">
        <f>COUNTA(D29:I29)</f>
      </c>
      <c r="K29" t="inlineStr">
        <is>
          <t>Projeto</t>
        </is>
      </c>
      <c r="L29" t="inlineStr">
        <is>
          <t>Orçamento</t>
        </is>
      </c>
      <c r="M29">
        <v>9480.00</v>
      </c>
      <c r="O29" t="inlineStr">
        <is>
          <t>Abr</t>
        </is>
      </c>
      <c r="P29" t="inlineStr">
        <is>
          <t>Q2</t>
        </is>
      </c>
      <c r="Q29">
        <v>2024</v>
      </c>
      <c r="S29">
        <v>1</v>
      </c>
      <c r="U29">
        <v>1</v>
      </c>
      <c r="V29">
        <f>SUM(R29:U29)</f>
      </c>
      <c r="W29" t="inlineStr">
        <is>
          <t>Contacto do Duarte</t>
        </is>
      </c>
      <c r="X29" t="inlineStr">
        <is>
          <t>Ganho</t>
        </is>
      </c>
      <c r="AA29">
        <v>9480.00</v>
      </c>
      <c r="AB29">
        <v>7875.10</v>
      </c>
      <c r="AC29">
        <f>AB29/AA29</f>
      </c>
      <c r="AD29">
        <f>AB29/2*12</f>
      </c>
      <c r="AE29">
        <v>2</v>
      </c>
    </row>
    <row r="30">
      <c r="A30" t="inlineStr">
        <is>
          <t>Time Out Market</t>
        </is>
      </c>
      <c r="D30" t="inlineStr">
        <is>
          <t>X</t>
        </is>
      </c>
      <c r="J30">
        <f>COUNTA(D30:I30)</f>
      </c>
      <c r="K30" t="inlineStr">
        <is>
          <t>Projeto</t>
        </is>
      </c>
      <c r="L30" t="inlineStr">
        <is>
          <t>Criatividade</t>
        </is>
      </c>
      <c r="M30">
        <v>49063.61</v>
      </c>
      <c r="O30" t="inlineStr">
        <is>
          <t>Abr</t>
        </is>
      </c>
      <c r="P30" t="inlineStr">
        <is>
          <t>Q2</t>
        </is>
      </c>
      <c r="Q30">
        <v>2024</v>
      </c>
      <c r="S30">
        <v>1</v>
      </c>
      <c r="U30">
        <v>1</v>
      </c>
      <c r="V30">
        <f>SUM(R30:U30)</f>
      </c>
      <c r="W30" t="inlineStr">
        <is>
          <t>Antigo Cliente</t>
        </is>
      </c>
      <c r="X30" t="inlineStr">
        <is>
          <t>Ganho</t>
        </is>
      </c>
      <c r="AA30">
        <v>49063.61</v>
      </c>
      <c r="AB30">
        <v>10208.44</v>
      </c>
      <c r="AC30">
        <f>AB30/AA30</f>
      </c>
      <c r="AD30">
        <f>AB30/2*12</f>
      </c>
      <c r="AE30">
        <v>2</v>
      </c>
    </row>
    <row r="31">
      <c r="A31" t="inlineStr">
        <is>
          <t>Vizta</t>
        </is>
      </c>
      <c r="B31" t="inlineStr">
        <is>
          <t>Imobiliário</t>
        </is>
      </c>
      <c r="H31" t="inlineStr">
        <is>
          <t>X</t>
        </is>
      </c>
      <c r="J31">
        <f>COUNTA(D31:I31)</f>
      </c>
      <c r="K31" t="inlineStr">
        <is>
          <t>Projeto</t>
        </is>
      </c>
      <c r="L31" t="inlineStr">
        <is>
          <t>Orçamento</t>
        </is>
      </c>
      <c r="M31">
        <v>45200.00</v>
      </c>
      <c r="O31" t="inlineStr">
        <is>
          <t>Abr</t>
        </is>
      </c>
      <c r="P31" t="inlineStr">
        <is>
          <t>Q2</t>
        </is>
      </c>
      <c r="Q31">
        <v>2024</v>
      </c>
      <c r="S31">
        <v>1</v>
      </c>
      <c r="T31">
        <v>1</v>
      </c>
      <c r="V31">
        <f>SUM(R31:U31)</f>
      </c>
      <c r="X31" t="inlineStr">
        <is>
          <t>Ganho</t>
        </is>
      </c>
      <c r="AB31">
        <v>21475.00</v>
      </c>
      <c r="AC31">
        <f>AB31/AA31</f>
      </c>
      <c r="AD31">
        <f>AB31/2*12</f>
      </c>
      <c r="AE31">
        <v>2</v>
      </c>
    </row>
    <row r="32">
      <c r="A32" t="inlineStr">
        <is>
          <t>Fundação Aboim Sande Lemos</t>
        </is>
      </c>
      <c r="G32" t="inlineStr">
        <is>
          <t>X</t>
        </is>
      </c>
      <c r="H32" t="inlineStr">
        <is>
          <t>X</t>
        </is>
      </c>
      <c r="J32">
        <f>COUNTA(D32:I32)</f>
      </c>
      <c r="K32" t="inlineStr">
        <is>
          <t>Projeto</t>
        </is>
      </c>
      <c r="L32" t="inlineStr">
        <is>
          <t>Orçamento</t>
        </is>
      </c>
      <c r="M32">
        <v>4928.00</v>
      </c>
      <c r="O32" t="inlineStr">
        <is>
          <t>Abr</t>
        </is>
      </c>
      <c r="P32" t="inlineStr">
        <is>
          <t>Q2</t>
        </is>
      </c>
      <c r="Q32">
        <v>2024</v>
      </c>
      <c r="T32">
        <v>1</v>
      </c>
      <c r="U32">
        <v>1</v>
      </c>
      <c r="V32">
        <f>SUM(R32:U32)</f>
      </c>
      <c r="X32" t="inlineStr">
        <is>
          <t>Ganho</t>
        </is>
      </c>
      <c r="AA32">
        <v>12968.00</v>
      </c>
      <c r="AB32">
        <v>12968.00</v>
      </c>
      <c r="AC32">
        <f>AB32/AA32</f>
      </c>
      <c r="AD32">
        <f>AB32/2*12</f>
      </c>
      <c r="AE32">
        <v>3</v>
      </c>
    </row>
    <row r="33">
      <c r="A33" t="inlineStr">
        <is>
          <t>Olá</t>
        </is>
      </c>
      <c r="B33" t="inlineStr">
        <is>
          <t>Food</t>
        </is>
      </c>
      <c r="D33" t="inlineStr">
        <is>
          <t>X</t>
        </is>
      </c>
      <c r="J33">
        <f>COUNTA(D33:I33)</f>
      </c>
      <c r="K33" t="inlineStr">
        <is>
          <t>Projeto</t>
        </is>
      </c>
      <c r="L33" t="inlineStr">
        <is>
          <t>Criatividade</t>
        </is>
      </c>
      <c r="O33" t="inlineStr">
        <is>
          <t>Abr</t>
        </is>
      </c>
      <c r="P33" t="inlineStr">
        <is>
          <t>Q2</t>
        </is>
      </c>
      <c r="Q33">
        <v>2024</v>
      </c>
      <c r="R33">
        <v>1</v>
      </c>
      <c r="S33">
        <v>1</v>
      </c>
      <c r="T33">
        <v>1</v>
      </c>
      <c r="V33">
        <f>SUM(R33:U33)</f>
      </c>
      <c r="X33" t="inlineStr">
        <is>
          <t>Perdido</t>
        </is>
      </c>
      <c r="AC33">
        <f>AB33/AA33</f>
      </c>
      <c r="AD33">
        <f>AB33/2*12</f>
      </c>
    </row>
    <row r="34">
      <c r="A34" t="inlineStr">
        <is>
          <t>Vigent</t>
        </is>
      </c>
      <c r="H34" t="inlineStr">
        <is>
          <t>X</t>
        </is>
      </c>
      <c r="J34">
        <f>COUNTA(D34:I34)</f>
      </c>
      <c r="K34" t="inlineStr">
        <is>
          <t>Projeto</t>
        </is>
      </c>
      <c r="L34" t="inlineStr">
        <is>
          <t>Orçamento</t>
        </is>
      </c>
      <c r="O34" t="inlineStr">
        <is>
          <t>Abr</t>
        </is>
      </c>
      <c r="P34" t="inlineStr">
        <is>
          <t>Q2</t>
        </is>
      </c>
      <c r="Q34">
        <v>2024</v>
      </c>
      <c r="S34">
        <v>1</v>
      </c>
      <c r="T34">
        <v>1</v>
      </c>
      <c r="V34">
        <f>SUM(R34:U34)</f>
      </c>
      <c r="X34" t="inlineStr">
        <is>
          <t>Perdido</t>
        </is>
      </c>
      <c r="AC34">
        <f>AB34/AA34</f>
      </c>
      <c r="AD34">
        <f>AB34/2*12</f>
      </c>
    </row>
    <row r="35">
      <c r="A35" t="inlineStr">
        <is>
          <t>Superdecor</t>
        </is>
      </c>
      <c r="B35" t="inlineStr">
        <is>
          <t>Retalho Direto</t>
        </is>
      </c>
      <c r="I35" t="inlineStr">
        <is>
          <t>X</t>
        </is>
      </c>
      <c r="J35">
        <f>COUNTA(D35:I35)</f>
      </c>
      <c r="K35" t="inlineStr">
        <is>
          <t>Projeto</t>
        </is>
      </c>
      <c r="L35" t="inlineStr">
        <is>
          <t>Estratégia</t>
        </is>
      </c>
      <c r="O35" t="inlineStr">
        <is>
          <t>Abr</t>
        </is>
      </c>
      <c r="P35" t="inlineStr">
        <is>
          <t>Q2</t>
        </is>
      </c>
      <c r="Q35">
        <v>2024</v>
      </c>
      <c r="T35">
        <v>1</v>
      </c>
      <c r="V35">
        <f>SUM(R35:U35)</f>
      </c>
      <c r="X35" t="inlineStr">
        <is>
          <t>Perdido</t>
        </is>
      </c>
      <c r="AC35">
        <f>AB35/AA35</f>
      </c>
      <c r="AD35">
        <f>AB35/2*12</f>
      </c>
    </row>
    <row r="36">
      <c r="A36" t="inlineStr">
        <is>
          <t>BIAL</t>
        </is>
      </c>
      <c r="B36" t="inlineStr">
        <is>
          <t>Farmaceutica</t>
        </is>
      </c>
      <c r="D36" t="inlineStr">
        <is>
          <t>X</t>
        </is>
      </c>
      <c r="J36">
        <f>COUNTA(D36:I36)</f>
      </c>
      <c r="K36" t="inlineStr">
        <is>
          <t>Projeto</t>
        </is>
      </c>
      <c r="L36" t="inlineStr">
        <is>
          <t>Orçamento</t>
        </is>
      </c>
      <c r="O36" t="inlineStr">
        <is>
          <t>Abr</t>
        </is>
      </c>
      <c r="P36" t="inlineStr">
        <is>
          <t>Q2</t>
        </is>
      </c>
      <c r="Q36">
        <v>2024</v>
      </c>
      <c r="S36">
        <v>1</v>
      </c>
      <c r="V36">
        <f>SUM(R36:U36)</f>
      </c>
      <c r="X36" t="inlineStr">
        <is>
          <t>Perdido</t>
        </is>
      </c>
      <c r="AC36">
        <f>AB36/AA36</f>
      </c>
      <c r="AD36">
        <f>AB36/2*12</f>
      </c>
    </row>
    <row r="37">
      <c r="A37" t="inlineStr">
        <is>
          <t>SCML Inst.</t>
        </is>
      </c>
      <c r="B37" t="inlineStr">
        <is>
          <t>Público</t>
        </is>
      </c>
      <c r="I37" t="inlineStr">
        <is>
          <t>X</t>
        </is>
      </c>
      <c r="J37">
        <f>COUNTA(D37:I37)</f>
      </c>
      <c r="K37" t="inlineStr">
        <is>
          <t>Fee</t>
        </is>
      </c>
      <c r="L37" t="inlineStr">
        <is>
          <t>Criatividade</t>
        </is>
      </c>
      <c r="M37">
        <v>140000.00</v>
      </c>
      <c r="O37" t="inlineStr">
        <is>
          <t>Jun</t>
        </is>
      </c>
      <c r="P37" t="inlineStr">
        <is>
          <t>Q2</t>
        </is>
      </c>
      <c r="Q37">
        <v>2024</v>
      </c>
      <c r="R37">
        <v>1</v>
      </c>
      <c r="S37">
        <v>1</v>
      </c>
      <c r="T37">
        <v>1</v>
      </c>
      <c r="U37">
        <v>1</v>
      </c>
      <c r="V37">
        <f>SUM(R37:U37)</f>
      </c>
      <c r="W37" t="inlineStr">
        <is>
          <t>Atual Cliente Nossa</t>
        </is>
      </c>
      <c r="X37" t="inlineStr">
        <is>
          <t>Ganho</t>
        </is>
      </c>
      <c r="AC37">
        <f>AB37/AA37</f>
      </c>
      <c r="AD37">
        <f>AB37/2*12</f>
      </c>
      <c r="AE37">
        <v>1</v>
      </c>
    </row>
    <row r="38">
      <c r="A38" t="inlineStr">
        <is>
          <t>Allianz</t>
        </is>
      </c>
      <c r="B38" t="inlineStr">
        <is>
          <t>Seguradoras</t>
        </is>
      </c>
      <c r="E38" t="inlineStr">
        <is>
          <t>X</t>
        </is>
      </c>
      <c r="J38">
        <f>COUNTA(D38:I38)</f>
      </c>
      <c r="K38" t="inlineStr">
        <is>
          <t>Projeto</t>
        </is>
      </c>
      <c r="L38" t="inlineStr">
        <is>
          <t>Orçamento</t>
        </is>
      </c>
      <c r="M38">
        <v>26650.00</v>
      </c>
      <c r="O38" t="inlineStr">
        <is>
          <t>Jun</t>
        </is>
      </c>
      <c r="P38" t="inlineStr">
        <is>
          <t>Q2</t>
        </is>
      </c>
      <c r="Q38">
        <v>2024</v>
      </c>
      <c r="R38">
        <v>1</v>
      </c>
      <c r="S38">
        <v>1</v>
      </c>
      <c r="T38">
        <v>1</v>
      </c>
      <c r="U38">
        <v>1</v>
      </c>
      <c r="V38">
        <f>SUM(R38:U38)</f>
      </c>
      <c r="X38" t="inlineStr">
        <is>
          <t>Ganho</t>
        </is>
      </c>
      <c r="AC38">
        <f>AB38/AA38</f>
      </c>
      <c r="AD38">
        <f>AB38/2*12</f>
      </c>
      <c r="AE38">
        <v>3</v>
      </c>
    </row>
    <row r="39">
      <c r="A39" t="inlineStr">
        <is>
          <t>JSC</t>
        </is>
      </c>
      <c r="B39" t="inlineStr">
        <is>
          <t>Apostas e Casino</t>
        </is>
      </c>
      <c r="I39" t="inlineStr">
        <is>
          <t>X</t>
        </is>
      </c>
      <c r="J39">
        <f>COUNTA(D39:I39)</f>
      </c>
      <c r="K39" t="inlineStr">
        <is>
          <t>Fee</t>
        </is>
      </c>
      <c r="L39" t="inlineStr">
        <is>
          <t>Criatividade</t>
        </is>
      </c>
      <c r="O39" t="inlineStr">
        <is>
          <t>Jun</t>
        </is>
      </c>
      <c r="P39" t="inlineStr">
        <is>
          <t>Q2</t>
        </is>
      </c>
      <c r="Q39">
        <v>2024</v>
      </c>
      <c r="R39">
        <v>1</v>
      </c>
      <c r="S39">
        <v>1</v>
      </c>
      <c r="T39">
        <v>1</v>
      </c>
      <c r="V39">
        <f>SUM(R39:U39)</f>
      </c>
      <c r="X39" t="inlineStr">
        <is>
          <t>Ganho</t>
        </is>
      </c>
      <c r="AC39">
        <f>AB39/AA39</f>
      </c>
      <c r="AD39">
        <f>AB39/2*12</f>
      </c>
      <c r="AE39">
        <v>1</v>
      </c>
    </row>
    <row r="40">
      <c r="A40" t="inlineStr">
        <is>
          <t>Revolut</t>
        </is>
      </c>
      <c r="B40" t="inlineStr">
        <is>
          <t>Banca</t>
        </is>
      </c>
      <c r="D40" t="inlineStr">
        <is>
          <t>X</t>
        </is>
      </c>
      <c r="J40">
        <f>COUNTA(D40:I40)</f>
      </c>
      <c r="K40" t="inlineStr">
        <is>
          <t>Projeto</t>
        </is>
      </c>
      <c r="L40" t="inlineStr">
        <is>
          <t>Criatividade</t>
        </is>
      </c>
      <c r="M40">
        <v>49500.00</v>
      </c>
      <c r="O40" t="inlineStr">
        <is>
          <t>Jun</t>
        </is>
      </c>
      <c r="P40" t="inlineStr">
        <is>
          <t>Q2</t>
        </is>
      </c>
      <c r="Q40">
        <v>2024</v>
      </c>
      <c r="R40">
        <v>1</v>
      </c>
      <c r="S40">
        <v>1</v>
      </c>
      <c r="V40">
        <f>SUM(R40:U40)</f>
      </c>
      <c r="X40" t="inlineStr">
        <is>
          <t>Ganho</t>
        </is>
      </c>
      <c r="AA40">
        <v>37000.00</v>
      </c>
      <c r="AB40">
        <v>7960.00</v>
      </c>
      <c r="AC40">
        <f>AB40/AA40</f>
      </c>
      <c r="AD40">
        <f>AB40/2*12</f>
      </c>
      <c r="AE40">
        <v>3</v>
      </c>
    </row>
    <row r="41">
      <c r="A41" t="inlineStr">
        <is>
          <t>NOVA</t>
        </is>
      </c>
      <c r="B41" t="inlineStr">
        <is>
          <t>Educação</t>
        </is>
      </c>
      <c r="G41" t="inlineStr">
        <is>
          <t>X</t>
        </is>
      </c>
      <c r="J41">
        <f>COUNTA(D41:I41)</f>
      </c>
      <c r="K41" t="inlineStr">
        <is>
          <t>Projeto</t>
        </is>
      </c>
      <c r="L41" t="inlineStr">
        <is>
          <t>Orçamento</t>
        </is>
      </c>
      <c r="O41" t="inlineStr">
        <is>
          <t>Jun</t>
        </is>
      </c>
      <c r="P41" t="inlineStr">
        <is>
          <t>Q2</t>
        </is>
      </c>
      <c r="Q41">
        <v>2024</v>
      </c>
      <c r="S41">
        <v>1</v>
      </c>
      <c r="U41">
        <v>1</v>
      </c>
      <c r="V41">
        <f>SUM(R41:U41)</f>
      </c>
      <c r="X41" t="inlineStr">
        <is>
          <t>Perdido</t>
        </is>
      </c>
      <c r="AC41">
        <f>AB41/AA41</f>
      </c>
      <c r="AD41">
        <f>AB41/2*12</f>
      </c>
    </row>
    <row r="42">
      <c r="A42" t="inlineStr">
        <is>
          <t>Fast Fiber</t>
        </is>
      </c>
      <c r="B42" t="inlineStr">
        <is>
          <t>Telecomunicações</t>
        </is>
      </c>
      <c r="F42" t="inlineStr">
        <is>
          <t>X</t>
        </is>
      </c>
      <c r="G42" t="inlineStr">
        <is>
          <t>X</t>
        </is>
      </c>
      <c r="H42" t="inlineStr">
        <is>
          <t>X</t>
        </is>
      </c>
      <c r="J42">
        <f>COUNTA(D42:I42)</f>
      </c>
      <c r="K42" t="inlineStr">
        <is>
          <t>Fee</t>
        </is>
      </c>
      <c r="L42" t="inlineStr">
        <is>
          <t>Orçamento</t>
        </is>
      </c>
      <c r="M42">
        <v>102279.00</v>
      </c>
      <c r="O42" t="inlineStr">
        <is>
          <t>Mai</t>
        </is>
      </c>
      <c r="P42" t="inlineStr">
        <is>
          <t>Q2</t>
        </is>
      </c>
      <c r="Q42">
        <v>2024</v>
      </c>
      <c r="T42">
        <v>1</v>
      </c>
      <c r="V42">
        <f>SUM(R42:U42)</f>
      </c>
      <c r="X42" t="inlineStr">
        <is>
          <t>Ganho</t>
        </is>
      </c>
      <c r="AA42">
        <v>46837.00</v>
      </c>
      <c r="AB42">
        <v>46837.00</v>
      </c>
      <c r="AC42">
        <f>AB42/AA42</f>
      </c>
      <c r="AD42">
        <f>AB42/2*12</f>
      </c>
      <c r="AE42">
        <v>2</v>
      </c>
    </row>
    <row r="43">
      <c r="A43" t="inlineStr">
        <is>
          <t>FLOW</t>
        </is>
      </c>
      <c r="F43" t="inlineStr">
        <is>
          <t>X</t>
        </is>
      </c>
      <c r="J43">
        <f>COUNTA(D43:I43)</f>
      </c>
      <c r="K43" t="inlineStr">
        <is>
          <t>Projeto</t>
        </is>
      </c>
      <c r="L43" t="inlineStr">
        <is>
          <t>Orçamento</t>
        </is>
      </c>
      <c r="O43" t="inlineStr">
        <is>
          <t>Mai</t>
        </is>
      </c>
      <c r="P43" t="inlineStr">
        <is>
          <t>Q2</t>
        </is>
      </c>
      <c r="Q43">
        <v>2024</v>
      </c>
      <c r="U43">
        <v>1</v>
      </c>
      <c r="V43">
        <f>SUM(R43:U43)</f>
      </c>
      <c r="W43" t="inlineStr">
        <is>
          <t>Cliente de Holmes Place</t>
        </is>
      </c>
      <c r="X43" t="inlineStr">
        <is>
          <t>Perdido</t>
        </is>
      </c>
      <c r="AC43">
        <f>AB43/AA43</f>
      </c>
      <c r="AD43">
        <f>AB43/2*12</f>
      </c>
    </row>
    <row r="44">
      <c r="A44" t="inlineStr">
        <is>
          <t>DLA Piper</t>
        </is>
      </c>
      <c r="D44" t="inlineStr">
        <is>
          <t>X</t>
        </is>
      </c>
      <c r="J44">
        <f>COUNTA(D44:I44)</f>
      </c>
      <c r="K44" t="inlineStr">
        <is>
          <t>Projeto</t>
        </is>
      </c>
      <c r="L44" t="inlineStr">
        <is>
          <t>Orçamento</t>
        </is>
      </c>
      <c r="O44" t="inlineStr">
        <is>
          <t>Mai</t>
        </is>
      </c>
      <c r="P44" t="inlineStr">
        <is>
          <t>Q2</t>
        </is>
      </c>
      <c r="Q44">
        <v>2024</v>
      </c>
      <c r="S44">
        <v>1</v>
      </c>
      <c r="V44">
        <f>SUM(R44:U44)</f>
      </c>
      <c r="X44" t="inlineStr">
        <is>
          <t>Perdido</t>
        </is>
      </c>
      <c r="AC44">
        <f>AB44/AA44</f>
      </c>
      <c r="AD44">
        <f>AB44/2*12</f>
      </c>
    </row>
    <row r="45">
      <c r="A45" t="inlineStr">
        <is>
          <t>Associação para o Planeamento da Família</t>
        </is>
      </c>
      <c r="D45" t="inlineStr">
        <is>
          <t>X</t>
        </is>
      </c>
      <c r="J45">
        <f>COUNTA(D45:I45)</f>
      </c>
      <c r="K45" t="inlineStr">
        <is>
          <t>Projeto</t>
        </is>
      </c>
      <c r="L45" t="inlineStr">
        <is>
          <t>Orçamento</t>
        </is>
      </c>
      <c r="O45" t="inlineStr">
        <is>
          <t>Mai</t>
        </is>
      </c>
      <c r="P45" t="inlineStr">
        <is>
          <t>Q2</t>
        </is>
      </c>
      <c r="Q45">
        <v>2024</v>
      </c>
      <c r="T45">
        <v>1</v>
      </c>
      <c r="U45">
        <v>1</v>
      </c>
      <c r="V45">
        <f>SUM(R45:U45)</f>
      </c>
      <c r="X45" t="inlineStr">
        <is>
          <t>Rejeitado</t>
        </is>
      </c>
      <c r="AC45">
        <f>AB45/AA45</f>
      </c>
      <c r="AD45">
        <f>AB45/2*12</f>
      </c>
    </row>
    <row r="46">
      <c r="A46" t="inlineStr">
        <is>
          <t>Nae Vegan Shoes</t>
        </is>
      </c>
      <c r="B46" t="inlineStr">
        <is>
          <t>Retalho Direto</t>
        </is>
      </c>
      <c r="I46" t="inlineStr">
        <is>
          <t>X</t>
        </is>
      </c>
      <c r="J46">
        <f>COUNTA(D46:I46)</f>
      </c>
      <c r="K46" t="inlineStr">
        <is>
          <t>Projeto</t>
        </is>
      </c>
      <c r="L46" t="inlineStr">
        <is>
          <t>Orçamento</t>
        </is>
      </c>
      <c r="O46" t="inlineStr">
        <is>
          <t>Mai</t>
        </is>
      </c>
      <c r="P46" t="inlineStr">
        <is>
          <t>Q2</t>
        </is>
      </c>
      <c r="Q46">
        <v>2024</v>
      </c>
      <c r="S46">
        <v>1</v>
      </c>
      <c r="V46">
        <f>SUM(R46:U46)</f>
      </c>
      <c r="X46" t="inlineStr">
        <is>
          <t>Rejeitado</t>
        </is>
      </c>
      <c r="AC46">
        <f>AB46/AA46</f>
      </c>
      <c r="AD46">
        <f>AB46/2*12</f>
      </c>
    </row>
    <row r="47">
      <c r="A47" t="inlineStr">
        <is>
          <t>Colgate</t>
        </is>
      </c>
      <c r="B47" t="inlineStr">
        <is>
          <t>Personal Care</t>
        </is>
      </c>
      <c r="F47" t="inlineStr">
        <is>
          <t>X</t>
        </is>
      </c>
      <c r="J47">
        <f>COUNTA(D47:I47)</f>
      </c>
      <c r="K47" t="inlineStr">
        <is>
          <t>Fee</t>
        </is>
      </c>
      <c r="L47" t="inlineStr">
        <is>
          <t>Estratégia</t>
        </is>
      </c>
      <c r="M47">
        <v>26098.10</v>
      </c>
      <c r="O47" t="inlineStr">
        <is>
          <t>Ago</t>
        </is>
      </c>
      <c r="P47" t="inlineStr">
        <is>
          <t>Q3</t>
        </is>
      </c>
      <c r="Q47">
        <v>2024</v>
      </c>
      <c r="R47">
        <v>1</v>
      </c>
      <c r="T47">
        <v>1</v>
      </c>
      <c r="V47">
        <f>SUM(R47:U47)</f>
      </c>
      <c r="X47" t="inlineStr">
        <is>
          <t>Ganho</t>
        </is>
      </c>
      <c r="AA47">
        <v>150000.00</v>
      </c>
      <c r="AB47">
        <v>18000.00</v>
      </c>
      <c r="AC47">
        <f>AB47/AA47</f>
      </c>
      <c r="AD47">
        <f>AB47/2*12</f>
      </c>
      <c r="AE47">
        <v>3</v>
      </c>
    </row>
    <row r="48">
      <c r="A48" t="inlineStr">
        <is>
          <t>Lebull</t>
        </is>
      </c>
      <c r="B48" t="inlineStr">
        <is>
          <t>Apostas e Casino</t>
        </is>
      </c>
      <c r="D48" t="inlineStr">
        <is>
          <t>X</t>
        </is>
      </c>
      <c r="J48">
        <f>COUNTA(D48:I48)</f>
      </c>
      <c r="K48" t="inlineStr">
        <is>
          <t>Projeto</t>
        </is>
      </c>
      <c r="L48" t="inlineStr">
        <is>
          <t>Criatividade</t>
        </is>
      </c>
      <c r="M48">
        <v>62400.00</v>
      </c>
      <c r="O48" t="inlineStr">
        <is>
          <t>Ago</t>
        </is>
      </c>
      <c r="P48" t="inlineStr">
        <is>
          <t>Q3</t>
        </is>
      </c>
      <c r="Q48">
        <v>2024</v>
      </c>
      <c r="S48">
        <v>1</v>
      </c>
      <c r="T48">
        <v>1</v>
      </c>
      <c r="V48">
        <f>SUM(R48:U48)</f>
      </c>
      <c r="X48" t="inlineStr">
        <is>
          <t>Ganho</t>
        </is>
      </c>
      <c r="AB48">
        <v>27450.00</v>
      </c>
      <c r="AC48">
        <f>AB48/AA48</f>
      </c>
      <c r="AD48">
        <f>AB48/2*12</f>
      </c>
      <c r="AE48">
        <v>2</v>
      </c>
    </row>
    <row r="49">
      <c r="A49" t="inlineStr">
        <is>
          <t>Surfers Cove</t>
        </is>
      </c>
      <c r="B49" t="inlineStr">
        <is>
          <t>Desporto</t>
        </is>
      </c>
      <c r="H49" t="inlineStr">
        <is>
          <t>X</t>
        </is>
      </c>
      <c r="J49">
        <f>COUNTA(D49:I49)</f>
      </c>
      <c r="K49" t="inlineStr">
        <is>
          <t>Projeto</t>
        </is>
      </c>
      <c r="L49" t="inlineStr">
        <is>
          <t>Orçamento</t>
        </is>
      </c>
      <c r="O49" t="inlineStr">
        <is>
          <t>Ago</t>
        </is>
      </c>
      <c r="P49" t="inlineStr">
        <is>
          <t>Q3</t>
        </is>
      </c>
      <c r="Q49">
        <v>2024</v>
      </c>
      <c r="T49">
        <v>1</v>
      </c>
      <c r="U49">
        <v>1</v>
      </c>
      <c r="V49">
        <f>SUM(R49:U49)</f>
      </c>
      <c r="W49" t="inlineStr">
        <is>
          <t>Area de interesse Surf</t>
        </is>
      </c>
      <c r="X49" t="inlineStr">
        <is>
          <t>Ganho</t>
        </is>
      </c>
      <c r="AA49">
        <v>16750.00</v>
      </c>
      <c r="AB49">
        <v>16557.00</v>
      </c>
      <c r="AC49">
        <f>AB49/AA49</f>
      </c>
      <c r="AD49">
        <f>AB49/2*12</f>
      </c>
      <c r="AE49">
        <v>3</v>
      </c>
    </row>
    <row r="50">
      <c r="A50" t="inlineStr">
        <is>
          <t>Cinemas NOS</t>
        </is>
      </c>
      <c r="B50" t="inlineStr">
        <is>
          <t>Entretenimento</t>
        </is>
      </c>
      <c r="F50" t="inlineStr">
        <is>
          <t>X</t>
        </is>
      </c>
      <c r="J50">
        <f>COUNTA(D50:I50)</f>
      </c>
      <c r="K50" t="inlineStr">
        <is>
          <t>Fee</t>
        </is>
      </c>
      <c r="L50" t="inlineStr">
        <is>
          <t>Criatividade</t>
        </is>
      </c>
      <c r="M50">
        <v>48189.60</v>
      </c>
      <c r="O50" t="inlineStr">
        <is>
          <t>Ago</t>
        </is>
      </c>
      <c r="P50" t="inlineStr">
        <is>
          <t>Q3</t>
        </is>
      </c>
      <c r="Q50">
        <v>2024</v>
      </c>
      <c r="R50">
        <v>1</v>
      </c>
      <c r="S50">
        <v>1</v>
      </c>
      <c r="V50">
        <f>SUM(R50:U50)</f>
      </c>
      <c r="X50" t="inlineStr">
        <is>
          <t>Perdido</t>
        </is>
      </c>
      <c r="AC50">
        <f>AB50/AA50</f>
      </c>
      <c r="AD50">
        <f>AB50/2*12</f>
      </c>
    </row>
    <row r="51">
      <c r="A51" t="inlineStr">
        <is>
          <t>WWF</t>
        </is>
      </c>
      <c r="B51" t="inlineStr">
        <is>
          <t>ONG</t>
        </is>
      </c>
      <c r="D51" t="inlineStr">
        <is>
          <t>X</t>
        </is>
      </c>
      <c r="J51">
        <f>COUNTA(D51:I51)</f>
      </c>
      <c r="K51" t="inlineStr">
        <is>
          <t>Projeto</t>
        </is>
      </c>
      <c r="L51" t="inlineStr">
        <is>
          <t>Criatividade</t>
        </is>
      </c>
      <c r="O51" t="inlineStr">
        <is>
          <t>Ago</t>
        </is>
      </c>
      <c r="P51" t="inlineStr">
        <is>
          <t>Q3</t>
        </is>
      </c>
      <c r="Q51">
        <v>2024</v>
      </c>
      <c r="R51">
        <v>1</v>
      </c>
      <c r="S51">
        <v>1</v>
      </c>
      <c r="V51">
        <f>SUM(R51:U51)</f>
      </c>
      <c r="X51" t="inlineStr">
        <is>
          <t>Perdido</t>
        </is>
      </c>
      <c r="AC51">
        <f>AB51/AA51</f>
      </c>
      <c r="AD51">
        <f>AB51/2*12</f>
      </c>
    </row>
    <row r="52">
      <c r="A52" t="inlineStr">
        <is>
          <t>Advance Care</t>
        </is>
      </c>
      <c r="B52" t="inlineStr">
        <is>
          <t>Seguradoras</t>
        </is>
      </c>
      <c r="F52" t="inlineStr">
        <is>
          <t>X</t>
        </is>
      </c>
      <c r="J52">
        <f>COUNTA(D52:I52)</f>
      </c>
      <c r="K52" t="inlineStr">
        <is>
          <t>Projeto</t>
        </is>
      </c>
      <c r="L52" t="inlineStr">
        <is>
          <t>Orçamento</t>
        </is>
      </c>
      <c r="M52">
        <v>11370.00</v>
      </c>
      <c r="O52" t="inlineStr">
        <is>
          <t>Ago</t>
        </is>
      </c>
      <c r="P52" t="inlineStr">
        <is>
          <t>Q3</t>
        </is>
      </c>
      <c r="Q52">
        <v>2024</v>
      </c>
      <c r="T52">
        <v>1</v>
      </c>
      <c r="V52">
        <f>SUM(R52:U52)</f>
      </c>
      <c r="X52" t="inlineStr">
        <is>
          <t>Perdido</t>
        </is>
      </c>
      <c r="AC52">
        <f>AB52/AA52</f>
      </c>
      <c r="AD52">
        <f>AB52/2*12</f>
      </c>
    </row>
    <row r="53">
      <c r="A53" t="inlineStr">
        <is>
          <t>Bwin</t>
        </is>
      </c>
      <c r="B53" t="inlineStr">
        <is>
          <t>Apostas e Casino</t>
        </is>
      </c>
      <c r="I53" t="inlineStr">
        <is>
          <t>X</t>
        </is>
      </c>
      <c r="J53">
        <f>COUNTA(D53:I53)</f>
      </c>
      <c r="K53" t="inlineStr">
        <is>
          <t>Fee</t>
        </is>
      </c>
      <c r="L53" t="inlineStr">
        <is>
          <t>Criatividade</t>
        </is>
      </c>
      <c r="O53" t="inlineStr">
        <is>
          <t>Ago</t>
        </is>
      </c>
      <c r="P53" t="inlineStr">
        <is>
          <t>Q3</t>
        </is>
      </c>
      <c r="Q53">
        <v>2024</v>
      </c>
      <c r="R53">
        <v>1</v>
      </c>
      <c r="T53">
        <v>1</v>
      </c>
      <c r="V53">
        <f>SUM(R53:U53)</f>
      </c>
      <c r="X53" t="inlineStr">
        <is>
          <t>Rejeitado</t>
        </is>
      </c>
      <c r="AC53">
        <f>AB53/AA53</f>
      </c>
      <c r="AD53">
        <f>AB53/2*12</f>
      </c>
    </row>
    <row r="54">
      <c r="A54" t="inlineStr">
        <is>
          <t>Bar What If It Goes Well</t>
        </is>
      </c>
      <c r="H54" t="inlineStr">
        <is>
          <t>X</t>
        </is>
      </c>
      <c r="J54">
        <f>COUNTA(D54:I54)</f>
      </c>
      <c r="K54" t="inlineStr">
        <is>
          <t>Projeto</t>
        </is>
      </c>
      <c r="L54" t="inlineStr">
        <is>
          <t>Orçamento</t>
        </is>
      </c>
      <c r="O54" t="inlineStr">
        <is>
          <t>Ago</t>
        </is>
      </c>
      <c r="P54" t="inlineStr">
        <is>
          <t>Q3</t>
        </is>
      </c>
      <c r="Q54">
        <v>2024</v>
      </c>
      <c r="T54">
        <v>1</v>
      </c>
      <c r="U54">
        <v>1</v>
      </c>
      <c r="V54">
        <f>SUM(R54:U54)</f>
      </c>
      <c r="X54" t="inlineStr">
        <is>
          <t>Rejeitado</t>
        </is>
      </c>
      <c r="AC54">
        <f>AB54/AA54</f>
      </c>
      <c r="AD54">
        <f>AB54/2*12</f>
      </c>
    </row>
    <row r="55">
      <c r="A55" t="inlineStr">
        <is>
          <t>Segafredo</t>
        </is>
      </c>
      <c r="F55" t="inlineStr">
        <is>
          <t>X</t>
        </is>
      </c>
      <c r="J55">
        <f>COUNTA(D55:I55)</f>
      </c>
      <c r="K55" t="inlineStr">
        <is>
          <t>Fee</t>
        </is>
      </c>
      <c r="L55" t="inlineStr">
        <is>
          <t>Orçamento</t>
        </is>
      </c>
      <c r="O55" t="inlineStr">
        <is>
          <t>Ago</t>
        </is>
      </c>
      <c r="P55" t="inlineStr">
        <is>
          <t>Q3</t>
        </is>
      </c>
      <c r="Q55">
        <v>2024</v>
      </c>
      <c r="V55">
        <f>SUM(R55:U55)</f>
      </c>
      <c r="X55" t="inlineStr">
        <is>
          <t>Rejeitado</t>
        </is>
      </c>
      <c r="AC55">
        <f>AB55/AA55</f>
      </c>
      <c r="AD55">
        <f>AB55/2*12</f>
      </c>
    </row>
    <row r="56">
      <c r="A56" t="inlineStr">
        <is>
          <t>Penguin Random House</t>
        </is>
      </c>
      <c r="D56" t="inlineStr">
        <is>
          <t>X</t>
        </is>
      </c>
      <c r="J56">
        <f>COUNTA(D56:I56)</f>
      </c>
      <c r="K56" t="inlineStr">
        <is>
          <t>Projeto</t>
        </is>
      </c>
      <c r="L56" t="inlineStr">
        <is>
          <t>Criatividade</t>
        </is>
      </c>
      <c r="O56" t="inlineStr">
        <is>
          <t>Jul</t>
        </is>
      </c>
      <c r="P56" t="inlineStr">
        <is>
          <t>Q3</t>
        </is>
      </c>
      <c r="Q56">
        <v>2024</v>
      </c>
      <c r="R56">
        <v>1</v>
      </c>
      <c r="S56">
        <v>1</v>
      </c>
      <c r="V56">
        <f>SUM(R56:U56)</f>
      </c>
      <c r="X56" t="inlineStr">
        <is>
          <t>Perdido</t>
        </is>
      </c>
      <c r="AC56">
        <f>AB56/AA56</f>
      </c>
      <c r="AD56">
        <f>AB56/2*12</f>
      </c>
    </row>
    <row r="57">
      <c r="A57" t="inlineStr">
        <is>
          <t>Fusão Intergaup RMS</t>
        </is>
      </c>
      <c r="H57" t="inlineStr">
        <is>
          <t>X</t>
        </is>
      </c>
      <c r="J57">
        <f>COUNTA(D57:I57)</f>
      </c>
      <c r="K57" t="inlineStr">
        <is>
          <t>Projeto</t>
        </is>
      </c>
      <c r="L57" t="inlineStr">
        <is>
          <t>Orçamento</t>
        </is>
      </c>
      <c r="O57" t="inlineStr">
        <is>
          <t>Jul</t>
        </is>
      </c>
      <c r="P57" t="inlineStr">
        <is>
          <t>Q3</t>
        </is>
      </c>
      <c r="Q57">
        <v>2024</v>
      </c>
      <c r="T57">
        <v>1</v>
      </c>
      <c r="V57">
        <f>SUM(R57:U57)</f>
      </c>
      <c r="X57" t="inlineStr">
        <is>
          <t>Perdido</t>
        </is>
      </c>
      <c r="AC57">
        <f>AB57/AA57</f>
      </c>
      <c r="AD57">
        <f>AB57/2*12</f>
      </c>
    </row>
    <row r="58">
      <c r="A58" t="inlineStr">
        <is>
          <t>Absorvit Farmodiética</t>
        </is>
      </c>
      <c r="B58" t="inlineStr">
        <is>
          <t>Farmaceutica</t>
        </is>
      </c>
      <c r="D58" t="inlineStr">
        <is>
          <t>X</t>
        </is>
      </c>
      <c r="J58">
        <f>COUNTA(D58:I58)</f>
      </c>
      <c r="K58" t="inlineStr">
        <is>
          <t>Projeto</t>
        </is>
      </c>
      <c r="L58" t="inlineStr">
        <is>
          <t>Orçamento</t>
        </is>
      </c>
      <c r="O58" t="inlineStr">
        <is>
          <t>Jul</t>
        </is>
      </c>
      <c r="P58" t="inlineStr">
        <is>
          <t>Q3</t>
        </is>
      </c>
      <c r="Q58">
        <v>2024</v>
      </c>
      <c r="T58">
        <v>1</v>
      </c>
      <c r="V58">
        <f>SUM(R58:U58)</f>
      </c>
      <c r="X58" t="inlineStr">
        <is>
          <t>Perdido</t>
        </is>
      </c>
      <c r="AC58">
        <f>AB58/AA58</f>
      </c>
      <c r="AD58">
        <f>AB58/2*12</f>
      </c>
    </row>
    <row r="59">
      <c r="A59" t="inlineStr">
        <is>
          <t>CPME</t>
        </is>
      </c>
      <c r="D59" t="inlineStr">
        <is>
          <t>X</t>
        </is>
      </c>
      <c r="J59">
        <f>COUNTA(D59:I59)</f>
      </c>
      <c r="K59" t="inlineStr">
        <is>
          <t>Projeto</t>
        </is>
      </c>
      <c r="L59" t="inlineStr">
        <is>
          <t>Orçamento</t>
        </is>
      </c>
      <c r="O59" t="inlineStr">
        <is>
          <t>Jul</t>
        </is>
      </c>
      <c r="P59" t="inlineStr">
        <is>
          <t>Q3</t>
        </is>
      </c>
      <c r="Q59">
        <v>2024</v>
      </c>
      <c r="T59">
        <v>1</v>
      </c>
      <c r="V59">
        <f>SUM(R59:U59)</f>
      </c>
      <c r="X59" t="inlineStr">
        <is>
          <t>Rejeitado</t>
        </is>
      </c>
      <c r="AC59">
        <f>AB59/AA59</f>
      </c>
      <c r="AD59">
        <f>AB59/2*12</f>
      </c>
    </row>
    <row r="60">
      <c r="A60" t="inlineStr">
        <is>
          <t>DNA Cascais</t>
        </is>
      </c>
      <c r="B60" t="inlineStr">
        <is>
          <t>Público</t>
        </is>
      </c>
      <c r="I60" t="inlineStr">
        <is>
          <t>X</t>
        </is>
      </c>
      <c r="J60">
        <f>COUNTA(D60:I60)</f>
      </c>
      <c r="K60" t="inlineStr">
        <is>
          <t>Projeto</t>
        </is>
      </c>
      <c r="L60" t="inlineStr">
        <is>
          <t>Orçamento</t>
        </is>
      </c>
      <c r="M60">
        <v>72450.00</v>
      </c>
      <c r="O60" t="inlineStr">
        <is>
          <t>Jul</t>
        </is>
      </c>
      <c r="P60" t="inlineStr">
        <is>
          <t>Q3</t>
        </is>
      </c>
      <c r="Q60">
        <v>2024</v>
      </c>
      <c r="T60">
        <v>1</v>
      </c>
      <c r="U60">
        <v>1</v>
      </c>
      <c r="V60">
        <f>SUM(R60:U60)</f>
      </c>
      <c r="W60" t="inlineStr">
        <is>
          <t>cascais</t>
        </is>
      </c>
      <c r="X60" t="inlineStr">
        <is>
          <t>Perdido</t>
        </is>
      </c>
      <c r="Y60" t="inlineStr">
        <is>
          <t>2025-10-02</t>
        </is>
      </c>
      <c r="AC60">
        <f>AB60/AA60</f>
      </c>
      <c r="AD60">
        <f>AB60/2*12</f>
      </c>
    </row>
    <row r="61">
      <c r="A61" t="inlineStr">
        <is>
          <t>NOVA NIMSB</t>
        </is>
      </c>
      <c r="H61" t="inlineStr">
        <is>
          <t>X</t>
        </is>
      </c>
      <c r="J61">
        <f>COUNTA(D61:I61)</f>
      </c>
      <c r="K61" t="inlineStr">
        <is>
          <t>Projeto</t>
        </is>
      </c>
      <c r="L61" t="inlineStr">
        <is>
          <t>Orçamento</t>
        </is>
      </c>
      <c r="O61" t="inlineStr">
        <is>
          <t>Set</t>
        </is>
      </c>
      <c r="P61" t="inlineStr">
        <is>
          <t>Q3</t>
        </is>
      </c>
      <c r="Q61">
        <v>2024</v>
      </c>
      <c r="T61">
        <v>1</v>
      </c>
      <c r="U61">
        <v>1</v>
      </c>
      <c r="V61">
        <f>SUM(R61:U61)</f>
      </c>
      <c r="W61" t="inlineStr">
        <is>
          <t>Antigo Cliente NOVA</t>
        </is>
      </c>
      <c r="X61" t="inlineStr">
        <is>
          <t>Perdido</t>
        </is>
      </c>
      <c r="AC61">
        <f>AB61/AA61</f>
      </c>
      <c r="AD61">
        <f>AB61/2*12</f>
      </c>
    </row>
    <row r="62">
      <c r="A62" t="inlineStr">
        <is>
          <t>Fundação o Século</t>
        </is>
      </c>
      <c r="G62" t="inlineStr">
        <is>
          <t>X</t>
        </is>
      </c>
      <c r="H62" t="inlineStr">
        <is>
          <t>X</t>
        </is>
      </c>
      <c r="J62">
        <f>COUNTA(D62:I62)</f>
      </c>
      <c r="K62" t="inlineStr">
        <is>
          <t>Projeto</t>
        </is>
      </c>
      <c r="L62" t="inlineStr">
        <is>
          <t>Orçamento</t>
        </is>
      </c>
      <c r="O62" t="inlineStr">
        <is>
          <t>Set</t>
        </is>
      </c>
      <c r="P62" t="inlineStr">
        <is>
          <t>Q3</t>
        </is>
      </c>
      <c r="Q62">
        <v>2024</v>
      </c>
      <c r="S62">
        <v>1</v>
      </c>
      <c r="V62">
        <f>SUM(R62:U62)</f>
      </c>
      <c r="X62" t="inlineStr">
        <is>
          <t>Perdido</t>
        </is>
      </c>
      <c r="AC62">
        <f>AB62/AA62</f>
      </c>
      <c r="AD62">
        <f>AB62/2*12</f>
      </c>
    </row>
    <row r="63">
      <c r="A63" t="inlineStr">
        <is>
          <t>Fly Society</t>
        </is>
      </c>
      <c r="B63" t="inlineStr">
        <is>
          <t>Transportes</t>
        </is>
      </c>
      <c r="F63" t="inlineStr">
        <is>
          <t>X</t>
        </is>
      </c>
      <c r="J63">
        <f>COUNTA(D63:I63)</f>
      </c>
      <c r="K63" t="inlineStr">
        <is>
          <t>Fee</t>
        </is>
      </c>
      <c r="L63" t="inlineStr">
        <is>
          <t>Orçamento</t>
        </is>
      </c>
      <c r="O63" t="inlineStr">
        <is>
          <t>Set</t>
        </is>
      </c>
      <c r="P63" t="inlineStr">
        <is>
          <t>Q3</t>
        </is>
      </c>
      <c r="Q63">
        <v>2024</v>
      </c>
      <c r="T63">
        <v>1</v>
      </c>
      <c r="V63">
        <f>SUM(R63:U63)</f>
      </c>
      <c r="X63" t="inlineStr">
        <is>
          <t>Rejeitado</t>
        </is>
      </c>
      <c r="AC63">
        <f>AB63/AA63</f>
      </c>
      <c r="AD63">
        <f>AB63/2*12</f>
      </c>
    </row>
    <row r="64">
      <c r="A64" t="inlineStr">
        <is>
          <t>Bairro Digital SP. Sul</t>
        </is>
      </c>
      <c r="I64" t="inlineStr">
        <is>
          <t>X</t>
        </is>
      </c>
      <c r="J64">
        <f>COUNTA(D64:I64)</f>
      </c>
      <c r="K64" t="inlineStr">
        <is>
          <t>Projeto</t>
        </is>
      </c>
      <c r="L64" t="inlineStr">
        <is>
          <t>Orçamento</t>
        </is>
      </c>
      <c r="O64" t="inlineStr">
        <is>
          <t>Set</t>
        </is>
      </c>
      <c r="P64" t="inlineStr">
        <is>
          <t>Q3</t>
        </is>
      </c>
      <c r="Q64">
        <v>2024</v>
      </c>
      <c r="T64">
        <v>1</v>
      </c>
      <c r="V64">
        <f>SUM(R64:U64)</f>
      </c>
      <c r="X64" t="inlineStr">
        <is>
          <t>Rejeitado</t>
        </is>
      </c>
      <c r="AC64">
        <f>AB64/AA64</f>
      </c>
      <c r="AD64">
        <f>AB64/2*12</f>
      </c>
    </row>
    <row r="65">
      <c r="A65" t="inlineStr">
        <is>
          <t>Homy Casa</t>
        </is>
      </c>
      <c r="H65" t="inlineStr">
        <is>
          <t>X</t>
        </is>
      </c>
      <c r="J65">
        <f>COUNTA(D65:I65)</f>
      </c>
      <c r="K65" t="inlineStr">
        <is>
          <t>Projeto</t>
        </is>
      </c>
      <c r="L65" t="inlineStr">
        <is>
          <t>Orçamento</t>
        </is>
      </c>
      <c r="O65" t="inlineStr">
        <is>
          <t>Set</t>
        </is>
      </c>
      <c r="P65" t="inlineStr">
        <is>
          <t>Q3</t>
        </is>
      </c>
      <c r="Q65">
        <v>2024</v>
      </c>
      <c r="T65">
        <v>1</v>
      </c>
      <c r="V65">
        <f>SUM(R65:U65)</f>
      </c>
      <c r="X65" t="inlineStr">
        <is>
          <t>Perdido</t>
        </is>
      </c>
      <c r="AC65">
        <f>AB65/AA65</f>
      </c>
      <c r="AD65">
        <f>AB65/2*12</f>
      </c>
    </row>
    <row r="66">
      <c r="A66" t="inlineStr">
        <is>
          <t>Volkswagen Services</t>
        </is>
      </c>
      <c r="F66" t="inlineStr">
        <is>
          <t>X</t>
        </is>
      </c>
      <c r="G66" t="inlineStr">
        <is>
          <t>X</t>
        </is>
      </c>
      <c r="H66" t="inlineStr">
        <is>
          <t>X</t>
        </is>
      </c>
      <c r="J66">
        <f>COUNTA(D66:I66)</f>
      </c>
      <c r="K66" t="inlineStr">
        <is>
          <t>Fee</t>
        </is>
      </c>
      <c r="L66" t="inlineStr">
        <is>
          <t>Orçamento</t>
        </is>
      </c>
      <c r="O66" t="inlineStr">
        <is>
          <t>Dez</t>
        </is>
      </c>
      <c r="P66" t="inlineStr">
        <is>
          <t>Q4</t>
        </is>
      </c>
      <c r="Q66">
        <v>2024</v>
      </c>
      <c r="R66">
        <v>1</v>
      </c>
      <c r="V66">
        <f>SUM(R66:U66)</f>
      </c>
      <c r="X66" t="inlineStr">
        <is>
          <t>Rejeitado</t>
        </is>
      </c>
      <c r="AC66">
        <f>AB66/AA66</f>
      </c>
      <c r="AD66">
        <f>AB66/2*12</f>
      </c>
    </row>
    <row r="67">
      <c r="A67" t="inlineStr">
        <is>
          <t>Advance Care</t>
        </is>
      </c>
      <c r="D67" t="inlineStr">
        <is>
          <t>X</t>
        </is>
      </c>
      <c r="J67">
        <f>COUNTA(D67:I67)</f>
      </c>
      <c r="K67" t="inlineStr">
        <is>
          <t>Projeto</t>
        </is>
      </c>
      <c r="L67" t="inlineStr">
        <is>
          <t>Criatividade</t>
        </is>
      </c>
      <c r="O67" t="inlineStr">
        <is>
          <t>Dez</t>
        </is>
      </c>
      <c r="P67" t="inlineStr">
        <is>
          <t>Q4</t>
        </is>
      </c>
      <c r="Q67">
        <v>2024</v>
      </c>
      <c r="R67">
        <v>1</v>
      </c>
      <c r="V67">
        <f>SUM(R67:U67)</f>
      </c>
      <c r="X67" t="inlineStr">
        <is>
          <t>Rejeitado</t>
        </is>
      </c>
      <c r="AC67">
        <f>AB67/AA67</f>
      </c>
      <c r="AD67">
        <f>AB67/2*12</f>
      </c>
    </row>
    <row r="68">
      <c r="A68" t="inlineStr">
        <is>
          <t>INDAQUA</t>
        </is>
      </c>
      <c r="I68" t="inlineStr">
        <is>
          <t>X</t>
        </is>
      </c>
      <c r="J68">
        <f>COUNTA(D68:I68)</f>
      </c>
      <c r="K68" t="inlineStr">
        <is>
          <t>Projeto</t>
        </is>
      </c>
      <c r="L68" t="inlineStr">
        <is>
          <t>Orçamento</t>
        </is>
      </c>
      <c r="O68" t="inlineStr">
        <is>
          <t>Dez</t>
        </is>
      </c>
      <c r="P68" t="inlineStr">
        <is>
          <t>Q4</t>
        </is>
      </c>
      <c r="Q68">
        <v>2024</v>
      </c>
      <c r="T68">
        <v>1</v>
      </c>
      <c r="V68">
        <f>SUM(R68:U68)</f>
      </c>
      <c r="X68" t="inlineStr">
        <is>
          <t>Rejeitado</t>
        </is>
      </c>
      <c r="AC68">
        <f>AB68/AA68</f>
      </c>
      <c r="AD68">
        <f>AB68/2*12</f>
      </c>
    </row>
    <row r="69">
      <c r="A69" t="inlineStr">
        <is>
          <t>StrongHold</t>
        </is>
      </c>
      <c r="F69" t="inlineStr">
        <is>
          <t>X</t>
        </is>
      </c>
      <c r="G69" t="inlineStr">
        <is>
          <t>X</t>
        </is>
      </c>
      <c r="H69" t="inlineStr">
        <is>
          <t>X</t>
        </is>
      </c>
      <c r="J69">
        <f>COUNTA(D69:I69)</f>
      </c>
      <c r="K69" t="inlineStr">
        <is>
          <t>Projeto</t>
        </is>
      </c>
      <c r="L69" t="inlineStr">
        <is>
          <t>Orçamento</t>
        </is>
      </c>
      <c r="O69" t="inlineStr">
        <is>
          <t>Dez</t>
        </is>
      </c>
      <c r="P69" t="inlineStr">
        <is>
          <t>Q4</t>
        </is>
      </c>
      <c r="Q69">
        <v>2024</v>
      </c>
      <c r="U69">
        <v>1</v>
      </c>
      <c r="V69">
        <f>SUM(R69:U69)</f>
      </c>
      <c r="X69" t="inlineStr">
        <is>
          <t>Perdido</t>
        </is>
      </c>
      <c r="Z69" t="inlineStr">
        <is>
          <t>Sem resposta</t>
        </is>
      </c>
      <c r="AC69">
        <f>AB69/AA69</f>
      </c>
      <c r="AD69">
        <f>AB69/2*12</f>
      </c>
    </row>
    <row r="70">
      <c r="A70" t="inlineStr">
        <is>
          <t>EMRP</t>
        </is>
      </c>
      <c r="F70" t="inlineStr">
        <is>
          <t>X</t>
        </is>
      </c>
      <c r="J70">
        <f>COUNTA(D70:I70)</f>
      </c>
      <c r="K70" t="inlineStr">
        <is>
          <t>Projeto</t>
        </is>
      </c>
      <c r="L70" t="inlineStr">
        <is>
          <t>Orçamento</t>
        </is>
      </c>
      <c r="M70">
        <v>63067.00</v>
      </c>
      <c r="O70" t="inlineStr">
        <is>
          <t>Nov</t>
        </is>
      </c>
      <c r="P70" t="inlineStr">
        <is>
          <t>Q4</t>
        </is>
      </c>
      <c r="Q70">
        <v>2024</v>
      </c>
      <c r="V70">
        <f>SUM(R70:U70)</f>
      </c>
      <c r="X70" t="inlineStr">
        <is>
          <t>Perdido</t>
        </is>
      </c>
      <c r="AC70">
        <f>AB70/AA70</f>
      </c>
      <c r="AD70">
        <f>AB70/2*12</f>
      </c>
    </row>
    <row r="71">
      <c r="A71" t="inlineStr">
        <is>
          <t>EGF</t>
        </is>
      </c>
      <c r="F71" t="inlineStr">
        <is>
          <t>X</t>
        </is>
      </c>
      <c r="H71" t="inlineStr">
        <is>
          <t>X</t>
        </is>
      </c>
      <c r="J71">
        <f>COUNTA(D71:I71)</f>
      </c>
      <c r="K71" t="inlineStr">
        <is>
          <t>Fee</t>
        </is>
      </c>
      <c r="L71" t="inlineStr">
        <is>
          <t>Orçamento</t>
        </is>
      </c>
      <c r="O71" t="inlineStr">
        <is>
          <t>Nov</t>
        </is>
      </c>
      <c r="P71" t="inlineStr">
        <is>
          <t>Q4</t>
        </is>
      </c>
      <c r="Q71">
        <v>2024</v>
      </c>
      <c r="T71">
        <v>1</v>
      </c>
      <c r="V71">
        <f>SUM(R71:U71)</f>
      </c>
      <c r="X71" t="inlineStr">
        <is>
          <t>Rejeitado</t>
        </is>
      </c>
      <c r="AC71">
        <f>AB71/AA71</f>
      </c>
      <c r="AD71">
        <f>AB71/2*12</f>
      </c>
    </row>
    <row r="72">
      <c r="A72" t="inlineStr">
        <is>
          <t>Samsung</t>
        </is>
      </c>
      <c r="F72" t="inlineStr">
        <is>
          <t>X</t>
        </is>
      </c>
      <c r="J72">
        <f>COUNTA(D72:I72)</f>
      </c>
      <c r="K72" t="inlineStr">
        <is>
          <t>Fee</t>
        </is>
      </c>
      <c r="L72" t="inlineStr">
        <is>
          <t>Orçamento</t>
        </is>
      </c>
      <c r="O72" t="inlineStr">
        <is>
          <t>Nov</t>
        </is>
      </c>
      <c r="P72" t="inlineStr">
        <is>
          <t>Q4</t>
        </is>
      </c>
      <c r="Q72">
        <v>2024</v>
      </c>
      <c r="R72">
        <v>1</v>
      </c>
      <c r="T72">
        <v>1</v>
      </c>
      <c r="V72">
        <f>SUM(R72:U72)</f>
      </c>
      <c r="X72" t="inlineStr">
        <is>
          <t>Perdido</t>
        </is>
      </c>
      <c r="Y72" t="inlineStr">
        <is>
          <t>2025-03-02</t>
        </is>
      </c>
      <c r="AC72">
        <f>AB72/AA72</f>
      </c>
      <c r="AD72">
        <f>AB72/2*12</f>
      </c>
    </row>
    <row r="73">
      <c r="A73" t="inlineStr">
        <is>
          <t>Sensei Tech</t>
        </is>
      </c>
      <c r="G73" t="inlineStr">
        <is>
          <t>X</t>
        </is>
      </c>
      <c r="J73">
        <f>COUNTA(D73:I73)</f>
      </c>
      <c r="K73" t="inlineStr">
        <is>
          <t>Projeto</t>
        </is>
      </c>
      <c r="L73" t="inlineStr">
        <is>
          <t>Orçamento</t>
        </is>
      </c>
      <c r="M73">
        <v>18840.00</v>
      </c>
      <c r="O73" t="inlineStr">
        <is>
          <t>Nov</t>
        </is>
      </c>
      <c r="P73" t="inlineStr">
        <is>
          <t>Q4</t>
        </is>
      </c>
      <c r="Q73">
        <v>2024</v>
      </c>
      <c r="T73">
        <v>1</v>
      </c>
      <c r="V73">
        <f>SUM(R73:U73)</f>
      </c>
      <c r="X73" t="inlineStr">
        <is>
          <t>Perdido</t>
        </is>
      </c>
      <c r="Z73" t="inlineStr">
        <is>
          <t>Sem Resposta</t>
        </is>
      </c>
      <c r="AC73">
        <f>AB73/AA73</f>
      </c>
      <c r="AD73">
        <f>AB73/2*12</f>
      </c>
    </row>
    <row r="74">
      <c r="A74" t="inlineStr">
        <is>
          <t>Norfin - CASTILHO 86_88</t>
        </is>
      </c>
      <c r="B74" t="inlineStr">
        <is>
          <t>Imobiliário</t>
        </is>
      </c>
      <c r="F74" t="inlineStr">
        <is>
          <t>X</t>
        </is>
      </c>
      <c r="G74" t="inlineStr">
        <is>
          <t>X</t>
        </is>
      </c>
      <c r="H74" t="inlineStr">
        <is>
          <t>X</t>
        </is>
      </c>
      <c r="J74">
        <f>COUNTA(D74:I74)</f>
      </c>
      <c r="K74" t="inlineStr">
        <is>
          <t>Projeto</t>
        </is>
      </c>
      <c r="L74" t="inlineStr">
        <is>
          <t>Orçamento</t>
        </is>
      </c>
      <c r="O74" t="inlineStr">
        <is>
          <t>Nov</t>
        </is>
      </c>
      <c r="P74" t="inlineStr">
        <is>
          <t>Q4</t>
        </is>
      </c>
      <c r="Q74">
        <v>2024</v>
      </c>
      <c r="T74">
        <v>1</v>
      </c>
      <c r="U74">
        <v>1</v>
      </c>
      <c r="V74">
        <f>SUM(R74:U74)</f>
      </c>
      <c r="X74" t="inlineStr">
        <is>
          <t>Perdido</t>
        </is>
      </c>
      <c r="AC74">
        <f>AB74/AA74</f>
      </c>
      <c r="AD74">
        <f>AB74/2*12</f>
      </c>
    </row>
    <row r="75">
      <c r="A75" t="inlineStr">
        <is>
          <t>LusoViriato Funerárias</t>
        </is>
      </c>
      <c r="E75" t="inlineStr">
        <is>
          <t>X</t>
        </is>
      </c>
      <c r="H75" t="inlineStr">
        <is>
          <t>X</t>
        </is>
      </c>
      <c r="J75">
        <f>COUNTA(D75:I75)</f>
      </c>
      <c r="K75" t="inlineStr">
        <is>
          <t>Projeto</t>
        </is>
      </c>
      <c r="L75" t="inlineStr">
        <is>
          <t>Orçamento</t>
        </is>
      </c>
      <c r="O75" t="inlineStr">
        <is>
          <t>Out</t>
        </is>
      </c>
      <c r="P75" t="inlineStr">
        <is>
          <t>Q4</t>
        </is>
      </c>
      <c r="Q75">
        <v>2024</v>
      </c>
      <c r="T75">
        <v>1</v>
      </c>
      <c r="U75">
        <v>1</v>
      </c>
      <c r="V75">
        <f>SUM(R75:U75)</f>
      </c>
      <c r="W75" t="inlineStr">
        <is>
          <t>Contacto de Cliente Surfers Cove</t>
        </is>
      </c>
      <c r="X75" t="inlineStr">
        <is>
          <t>Perdido</t>
        </is>
      </c>
      <c r="AC75">
        <f>AB75/AA75</f>
      </c>
      <c r="AD75">
        <f>AB75/2*12</f>
      </c>
    </row>
    <row r="76">
      <c r="A76" t="inlineStr">
        <is>
          <t>Carmo Wood</t>
        </is>
      </c>
      <c r="H76" t="inlineStr">
        <is>
          <t>X</t>
        </is>
      </c>
      <c r="J76">
        <f>COUNTA(D76:I76)</f>
      </c>
      <c r="K76" t="inlineStr">
        <is>
          <t>Projeto</t>
        </is>
      </c>
      <c r="L76" t="inlineStr">
        <is>
          <t>Orçamento</t>
        </is>
      </c>
      <c r="O76" t="inlineStr">
        <is>
          <t>Out</t>
        </is>
      </c>
      <c r="P76" t="inlineStr">
        <is>
          <t>Q4</t>
        </is>
      </c>
      <c r="Q76">
        <v>2024</v>
      </c>
      <c r="S76">
        <v>1</v>
      </c>
      <c r="V76">
        <f>SUM(R76:U76)</f>
      </c>
      <c r="X76" t="inlineStr">
        <is>
          <t>Perdido</t>
        </is>
      </c>
      <c r="AC76">
        <f>AB76/AA76</f>
      </c>
      <c r="AD76">
        <f>AB76/2*12</f>
      </c>
    </row>
    <row r="77">
      <c r="A77" t="inlineStr">
        <is>
          <t>UIP</t>
        </is>
      </c>
      <c r="F77" t="inlineStr">
        <is>
          <t>X</t>
        </is>
      </c>
      <c r="G77" t="inlineStr">
        <is>
          <t>X</t>
        </is>
      </c>
      <c r="H77" t="inlineStr">
        <is>
          <t>X</t>
        </is>
      </c>
      <c r="J77">
        <f>COUNTA(D77:I77)</f>
      </c>
      <c r="K77" t="inlineStr">
        <is>
          <t>Projeto</t>
        </is>
      </c>
      <c r="L77" t="inlineStr">
        <is>
          <t>Orçamento</t>
        </is>
      </c>
      <c r="O77" t="inlineStr">
        <is>
          <t>Out</t>
        </is>
      </c>
      <c r="P77" t="inlineStr">
        <is>
          <t>Q4</t>
        </is>
      </c>
      <c r="Q77">
        <v>2024</v>
      </c>
      <c r="R77">
        <v>1</v>
      </c>
      <c r="V77">
        <f>SUM(R77:U77)</f>
      </c>
      <c r="X77" t="inlineStr">
        <is>
          <t>Perdido</t>
        </is>
      </c>
      <c r="AC77">
        <f>AB77/AA77</f>
      </c>
      <c r="AD77">
        <f>AB77/2*12</f>
      </c>
    </row>
    <row r="78">
      <c r="A78" t="inlineStr">
        <is>
          <t>Taga Urbanic</t>
        </is>
      </c>
      <c r="F78" t="inlineStr">
        <is>
          <t>X</t>
        </is>
      </c>
      <c r="G78" t="inlineStr">
        <is>
          <t>X</t>
        </is>
      </c>
      <c r="H78" t="inlineStr">
        <is>
          <t>X</t>
        </is>
      </c>
      <c r="J78">
        <f>COUNTA(D78:I78)</f>
      </c>
      <c r="K78" t="inlineStr">
        <is>
          <t>Fee</t>
        </is>
      </c>
      <c r="L78" t="inlineStr">
        <is>
          <t>Orçamento</t>
        </is>
      </c>
      <c r="M78">
        <v>95400.00</v>
      </c>
      <c r="O78" t="inlineStr">
        <is>
          <t>Out</t>
        </is>
      </c>
      <c r="P78" t="inlineStr">
        <is>
          <t>Q4</t>
        </is>
      </c>
      <c r="Q78">
        <v>2024</v>
      </c>
      <c r="T78">
        <v>1</v>
      </c>
      <c r="V78">
        <f>SUM(R78:U78)</f>
      </c>
      <c r="W78" t="inlineStr">
        <is>
          <t>Antigo Cliente</t>
        </is>
      </c>
      <c r="X78" t="inlineStr">
        <is>
          <t>Perdido</t>
        </is>
      </c>
      <c r="AC78">
        <f>AB78/AA78</f>
      </c>
      <c r="AD78">
        <f>AB78/2*12</f>
      </c>
    </row>
    <row r="79">
      <c r="A79" t="inlineStr">
        <is>
          <t>JNcQUOI Comporta</t>
        </is>
      </c>
      <c r="D79" t="inlineStr">
        <is>
          <t>X</t>
        </is>
      </c>
      <c r="J79">
        <f>COUNTA(D79:I79)</f>
      </c>
      <c r="K79" t="inlineStr">
        <is>
          <t>Projeto</t>
        </is>
      </c>
      <c r="L79" t="inlineStr">
        <is>
          <t>Criatividade</t>
        </is>
      </c>
      <c r="O79" t="inlineStr">
        <is>
          <t>Out</t>
        </is>
      </c>
      <c r="P79" t="inlineStr">
        <is>
          <t>Q4</t>
        </is>
      </c>
      <c r="Q79">
        <v>2024</v>
      </c>
      <c r="R79">
        <v>1</v>
      </c>
      <c r="T79">
        <v>1</v>
      </c>
      <c r="V79">
        <f>SUM(R79:U79)</f>
      </c>
      <c r="X79" t="inlineStr">
        <is>
          <t>Perdido</t>
        </is>
      </c>
      <c r="AC79">
        <f>AB79/AA79</f>
      </c>
      <c r="AD79">
        <f>AB79/2*12</f>
      </c>
    </row>
    <row r="80">
      <c r="A80" t="inlineStr">
        <is>
          <t>UIP - Talent Shift</t>
        </is>
      </c>
      <c r="F80" t="inlineStr">
        <is>
          <t>X</t>
        </is>
      </c>
      <c r="G80" t="inlineStr">
        <is>
          <t>X</t>
        </is>
      </c>
      <c r="H80" t="inlineStr">
        <is>
          <t>X</t>
        </is>
      </c>
      <c r="J80">
        <f>COUNTA(D80:I80)</f>
      </c>
      <c r="K80" t="inlineStr">
        <is>
          <t>Fee</t>
        </is>
      </c>
      <c r="L80" t="inlineStr">
        <is>
          <t>Orçamento</t>
        </is>
      </c>
      <c r="O80" t="inlineStr">
        <is>
          <t>Out</t>
        </is>
      </c>
      <c r="P80" t="inlineStr">
        <is>
          <t>Q4</t>
        </is>
      </c>
      <c r="Q80">
        <v>2024</v>
      </c>
      <c r="T80">
        <v>1</v>
      </c>
      <c r="V80">
        <f>SUM(R80:U80)</f>
      </c>
      <c r="X80" t="inlineStr">
        <is>
          <t>Perdido</t>
        </is>
      </c>
      <c r="AC80">
        <f>AB80/AA80</f>
      </c>
      <c r="AD80">
        <f>AB80/2*12</f>
      </c>
    </row>
    <row r="81">
      <c r="A81" t="inlineStr">
        <is>
          <t>Nicola</t>
        </is>
      </c>
      <c r="B81" t="inlineStr">
        <is>
          <t>Food</t>
        </is>
      </c>
      <c r="C81" t="inlineStr">
        <is>
          <t>Campanha</t>
        </is>
      </c>
      <c r="D81" t="inlineStr">
        <is>
          <t>X</t>
        </is>
      </c>
      <c r="J81">
        <f>COUNTA(D81:I81)</f>
      </c>
      <c r="K81" t="inlineStr">
        <is>
          <t>Projeto</t>
        </is>
      </c>
      <c r="L81" t="inlineStr">
        <is>
          <t>Orçamento</t>
        </is>
      </c>
      <c r="N81" t="inlineStr">
        <is>
          <t>2025-02-07</t>
        </is>
      </c>
      <c r="O81" t="inlineStr">
        <is>
          <t>Fev</t>
        </is>
      </c>
      <c r="P81" t="inlineStr">
        <is>
          <t>Q1</t>
        </is>
      </c>
      <c r="Q81">
        <v>2025</v>
      </c>
      <c r="R81">
        <v>1</v>
      </c>
      <c r="S81">
        <v>1</v>
      </c>
      <c r="V81">
        <f>SUM(R81:U81)</f>
      </c>
      <c r="X81" t="inlineStr">
        <is>
          <t>Perdido</t>
        </is>
      </c>
      <c r="Z81" t="inlineStr">
        <is>
          <t>Sem Resposta</t>
        </is>
      </c>
      <c r="AC81">
        <f>AB81/AA81</f>
      </c>
      <c r="AD81">
        <f>AB81/2*12</f>
      </c>
    </row>
    <row r="82">
      <c r="A82" t="inlineStr">
        <is>
          <t>Miguel Zarco Palma</t>
        </is>
      </c>
      <c r="B82" t="inlineStr">
        <is>
          <t>Imobiliário</t>
        </is>
      </c>
      <c r="C82" t="inlineStr">
        <is>
          <t>Rebranding</t>
        </is>
      </c>
      <c r="G82" t="inlineStr">
        <is>
          <t>X</t>
        </is>
      </c>
      <c r="H82" t="inlineStr">
        <is>
          <t>X</t>
        </is>
      </c>
      <c r="J82">
        <f>COUNTA(D82:I82)</f>
      </c>
      <c r="K82" t="inlineStr">
        <is>
          <t>Projeto</t>
        </is>
      </c>
      <c r="L82" t="inlineStr">
        <is>
          <t>Orçamento</t>
        </is>
      </c>
      <c r="N82" t="inlineStr">
        <is>
          <t>2025-02-05</t>
        </is>
      </c>
      <c r="O82" t="inlineStr">
        <is>
          <t>Fev</t>
        </is>
      </c>
      <c r="P82" t="inlineStr">
        <is>
          <t>Q1</t>
        </is>
      </c>
      <c r="Q82">
        <v>2025</v>
      </c>
      <c r="V82">
        <f>SUM(R82:U82)</f>
      </c>
      <c r="X82" t="inlineStr">
        <is>
          <t>Rejeitado</t>
        </is>
      </c>
      <c r="AC82">
        <f>AB82/AA82</f>
      </c>
      <c r="AD82">
        <f>AB82/2*12</f>
      </c>
    </row>
    <row r="83">
      <c r="A83" t="inlineStr">
        <is>
          <t>Van Zeller Wine Collection</t>
        </is>
      </c>
      <c r="B83" t="inlineStr">
        <is>
          <t>Bebidas</t>
        </is>
      </c>
      <c r="C83" t="inlineStr">
        <is>
          <t>TBC</t>
        </is>
      </c>
      <c r="J83">
        <f>COUNTA(D83:I83)</f>
      </c>
      <c r="K83" t="inlineStr">
        <is>
          <t>Projeto</t>
        </is>
      </c>
      <c r="L83" t="inlineStr">
        <is>
          <t>Orçamento</t>
        </is>
      </c>
      <c r="N83" t="inlineStr">
        <is>
          <t>2025-02-03</t>
        </is>
      </c>
      <c r="O83" t="inlineStr">
        <is>
          <t>Fev</t>
        </is>
      </c>
      <c r="P83" t="inlineStr">
        <is>
          <t>Q1</t>
        </is>
      </c>
      <c r="Q83">
        <v>2025</v>
      </c>
      <c r="V83">
        <f>SUM(R83:U83)</f>
      </c>
      <c r="X83" t="inlineStr">
        <is>
          <t>Rejeitado</t>
        </is>
      </c>
      <c r="Z83" t="inlineStr">
        <is>
          <t>Falta de Respostas</t>
        </is>
      </c>
      <c r="AC83">
        <f>AB83/AA83</f>
      </c>
      <c r="AD83">
        <f>AB83/2*12</f>
      </c>
    </row>
    <row r="84">
      <c r="A84" t="inlineStr">
        <is>
          <t>Arrow - Norfin</t>
        </is>
      </c>
      <c r="B84" t="inlineStr">
        <is>
          <t>Imobiliário</t>
        </is>
      </c>
      <c r="C84" t="inlineStr">
        <is>
          <t>Branding</t>
        </is>
      </c>
      <c r="E84" t="inlineStr">
        <is>
          <t>X</t>
        </is>
      </c>
      <c r="G84" t="inlineStr">
        <is>
          <t>X</t>
        </is>
      </c>
      <c r="H84" t="inlineStr">
        <is>
          <t>X</t>
        </is>
      </c>
      <c r="J84">
        <f>COUNTA(D84:I84)</f>
      </c>
      <c r="K84" t="inlineStr">
        <is>
          <t>Projeto</t>
        </is>
      </c>
      <c r="L84" t="inlineStr">
        <is>
          <t>Orçamento</t>
        </is>
      </c>
      <c r="M84">
        <v>39900.00</v>
      </c>
      <c r="N84" t="inlineStr">
        <is>
          <t>2025-02-13</t>
        </is>
      </c>
      <c r="O84" t="inlineStr">
        <is>
          <t>Fev</t>
        </is>
      </c>
      <c r="P84" t="inlineStr">
        <is>
          <t>Q1</t>
        </is>
      </c>
      <c r="Q84">
        <v>2025</v>
      </c>
      <c r="S84">
        <v>1</v>
      </c>
      <c r="T84">
        <v>1</v>
      </c>
      <c r="U84">
        <v>1</v>
      </c>
      <c r="V84">
        <f>SUM(R84:U84)</f>
      </c>
      <c r="W84" t="inlineStr">
        <is>
          <t>Antigo Cliente</t>
        </is>
      </c>
      <c r="X84" t="inlineStr">
        <is>
          <t>Perdido</t>
        </is>
      </c>
      <c r="Y84" t="inlineStr">
        <is>
          <t>2025-03-20</t>
        </is>
      </c>
      <c r="Z84" t="inlineStr">
        <is>
          <t>Ganhou a Born</t>
        </is>
      </c>
      <c r="AC84">
        <f>AB84/AA84</f>
      </c>
      <c r="AD84">
        <f>AB84/2*12</f>
      </c>
    </row>
    <row r="85">
      <c r="A85" t="inlineStr">
        <is>
          <t>Oramix</t>
        </is>
      </c>
      <c r="B85" t="inlineStr">
        <is>
          <t>SAAS</t>
        </is>
      </c>
      <c r="C85" t="inlineStr">
        <is>
          <t>Branding</t>
        </is>
      </c>
      <c r="H85" t="inlineStr">
        <is>
          <t>X</t>
        </is>
      </c>
      <c r="J85">
        <f>COUNTA(D85:I85)</f>
      </c>
      <c r="K85" t="inlineStr">
        <is>
          <t>Projeto</t>
        </is>
      </c>
      <c r="L85" t="inlineStr">
        <is>
          <t>Orçamento</t>
        </is>
      </c>
      <c r="N85" t="inlineStr">
        <is>
          <t>2025-02-13</t>
        </is>
      </c>
      <c r="O85" t="inlineStr">
        <is>
          <t>Fev</t>
        </is>
      </c>
      <c r="P85" t="inlineStr">
        <is>
          <t>Q1</t>
        </is>
      </c>
      <c r="Q85">
        <v>2025</v>
      </c>
      <c r="V85">
        <f>SUM(R85:U85)</f>
      </c>
      <c r="X85" t="inlineStr">
        <is>
          <t>Rejeitado</t>
        </is>
      </c>
      <c r="AC85">
        <f>AB85/AA85</f>
      </c>
      <c r="AD85">
        <f>AB85/2*12</f>
      </c>
    </row>
    <row r="86">
      <c r="A86" t="inlineStr">
        <is>
          <t>Go Global Travel</t>
        </is>
      </c>
      <c r="B86" t="inlineStr">
        <is>
          <t>Turismo</t>
        </is>
      </c>
      <c r="C86" t="inlineStr">
        <is>
          <t>Web Design</t>
        </is>
      </c>
      <c r="G86" t="inlineStr">
        <is>
          <t>X</t>
        </is>
      </c>
      <c r="J86">
        <f>COUNTA(D86:I86)</f>
      </c>
      <c r="K86" t="inlineStr">
        <is>
          <t>Projeto</t>
        </is>
      </c>
      <c r="L86" t="inlineStr">
        <is>
          <t>Orçamento</t>
        </is>
      </c>
      <c r="M86">
        <v>10380.00</v>
      </c>
      <c r="N86" t="inlineStr">
        <is>
          <t>2025-02-20</t>
        </is>
      </c>
      <c r="O86" t="inlineStr">
        <is>
          <t>Fev</t>
        </is>
      </c>
      <c r="P86" t="inlineStr">
        <is>
          <t>Q1</t>
        </is>
      </c>
      <c r="Q86">
        <v>2025</v>
      </c>
      <c r="R86">
        <v>1</v>
      </c>
      <c r="T86">
        <v>1</v>
      </c>
      <c r="V86">
        <f>SUM(R86:U86)</f>
      </c>
      <c r="W86" t="inlineStr">
        <is>
          <t>Internacional</t>
        </is>
      </c>
      <c r="X86" t="inlineStr">
        <is>
          <t>Ganho</t>
        </is>
      </c>
      <c r="Y86" t="inlineStr">
        <is>
          <t>2025-02-27</t>
        </is>
      </c>
      <c r="AA86">
        <v>6480.00</v>
      </c>
      <c r="AC86">
        <f>AB86/AA86</f>
      </c>
      <c r="AD86">
        <f>AB86/2*12</f>
      </c>
      <c r="AE86">
        <v>3</v>
      </c>
    </row>
    <row r="87">
      <c r="A87" t="inlineStr">
        <is>
          <t>Portway</t>
        </is>
      </c>
      <c r="B87" t="inlineStr">
        <is>
          <t>Logistica</t>
        </is>
      </c>
      <c r="C87" t="inlineStr">
        <is>
          <t>Campanha e Evento</t>
        </is>
      </c>
      <c r="D87" t="inlineStr">
        <is>
          <t>X</t>
        </is>
      </c>
      <c r="E87" t="inlineStr">
        <is>
          <t>X</t>
        </is>
      </c>
      <c r="H87" t="inlineStr">
        <is>
          <t>X</t>
        </is>
      </c>
      <c r="J87">
        <f>COUNTA(D87:I87)</f>
      </c>
      <c r="K87" t="inlineStr">
        <is>
          <t>Projeto</t>
        </is>
      </c>
      <c r="L87" t="inlineStr">
        <is>
          <t>Orçamento</t>
        </is>
      </c>
      <c r="M87">
        <v>49265.00</v>
      </c>
      <c r="N87" t="inlineStr">
        <is>
          <t>2025-02-21</t>
        </is>
      </c>
      <c r="O87" t="inlineStr">
        <is>
          <t>Fev</t>
        </is>
      </c>
      <c r="P87" t="inlineStr">
        <is>
          <t>Q1</t>
        </is>
      </c>
      <c r="Q87">
        <v>2025</v>
      </c>
      <c r="S87">
        <v>1</v>
      </c>
      <c r="T87">
        <v>1</v>
      </c>
      <c r="V87">
        <f>SUM(R87:U87)</f>
      </c>
      <c r="X87" t="inlineStr">
        <is>
          <t>Perdido</t>
        </is>
      </c>
      <c r="Y87" t="inlineStr">
        <is>
          <t>2025-04-21</t>
        </is>
      </c>
      <c r="AC87">
        <f>AB87/AA87</f>
      </c>
      <c r="AD87">
        <f>AB87/2*12</f>
      </c>
    </row>
    <row r="88">
      <c r="A88" t="inlineStr">
        <is>
          <t>GS1 Portugal</t>
        </is>
      </c>
      <c r="B88" t="inlineStr">
        <is>
          <t>Tecnologia</t>
        </is>
      </c>
      <c r="C88" t="inlineStr">
        <is>
          <t>Conteúdos Digitais</t>
        </is>
      </c>
      <c r="G88" t="inlineStr">
        <is>
          <t>X</t>
        </is>
      </c>
      <c r="H88" t="inlineStr">
        <is>
          <t>X</t>
        </is>
      </c>
      <c r="J88">
        <f>COUNTA(D88:I88)</f>
      </c>
      <c r="K88" t="inlineStr">
        <is>
          <t>Projeto</t>
        </is>
      </c>
      <c r="L88" t="inlineStr">
        <is>
          <t>Orçamento</t>
        </is>
      </c>
      <c r="N88" t="inlineStr">
        <is>
          <t>2025-02-21</t>
        </is>
      </c>
      <c r="O88" t="inlineStr">
        <is>
          <t>Fev</t>
        </is>
      </c>
      <c r="P88" t="inlineStr">
        <is>
          <t>Q1</t>
        </is>
      </c>
      <c r="Q88">
        <v>2025</v>
      </c>
      <c r="S88">
        <v>1</v>
      </c>
      <c r="V88">
        <f>SUM(R88:U88)</f>
      </c>
      <c r="X88" t="inlineStr">
        <is>
          <t>Rejeitado</t>
        </is>
      </c>
      <c r="AC88">
        <f>AB88/AA88</f>
      </c>
      <c r="AD88">
        <f>AB88/2*12</f>
      </c>
    </row>
    <row r="89">
      <c r="A89" t="inlineStr">
        <is>
          <t>Tecnopack</t>
        </is>
      </c>
      <c r="B89" t="inlineStr">
        <is>
          <t>Logistica</t>
        </is>
      </c>
      <c r="C89" t="inlineStr">
        <is>
          <t>Pack Case Studies</t>
        </is>
      </c>
      <c r="D89" t="inlineStr">
        <is>
          <t>X</t>
        </is>
      </c>
      <c r="J89">
        <f>COUNTA(D89:I89)</f>
      </c>
      <c r="K89" t="inlineStr">
        <is>
          <t>Projeto</t>
        </is>
      </c>
      <c r="L89" t="inlineStr">
        <is>
          <t>Orçamento</t>
        </is>
      </c>
      <c r="N89" t="inlineStr">
        <is>
          <t>2025-02-21</t>
        </is>
      </c>
      <c r="O89" t="inlineStr">
        <is>
          <t>Fev</t>
        </is>
      </c>
      <c r="P89" t="inlineStr">
        <is>
          <t>Q1</t>
        </is>
      </c>
      <c r="Q89">
        <v>2025</v>
      </c>
      <c r="V89">
        <f>SUM(R89:U89)</f>
      </c>
      <c r="X89" t="inlineStr">
        <is>
          <t>Rejeitado</t>
        </is>
      </c>
      <c r="AC89">
        <f>AB89/AA89</f>
      </c>
      <c r="AD89">
        <f>AB89/2*12</f>
      </c>
    </row>
    <row r="90">
      <c r="A90" t="inlineStr">
        <is>
          <t>Tarkett</t>
        </is>
      </c>
      <c r="B90" t="inlineStr">
        <is>
          <t>Retalho Direto</t>
        </is>
      </c>
      <c r="C90" t="inlineStr">
        <is>
          <t>Social Media</t>
        </is>
      </c>
      <c r="F90" t="inlineStr">
        <is>
          <t>X</t>
        </is>
      </c>
      <c r="J90">
        <f>COUNTA(D90:I90)</f>
      </c>
      <c r="K90" t="inlineStr">
        <is>
          <t>Fee</t>
        </is>
      </c>
      <c r="L90" t="inlineStr">
        <is>
          <t>Estratégia</t>
        </is>
      </c>
      <c r="N90" t="inlineStr">
        <is>
          <t>2025-02-21</t>
        </is>
      </c>
      <c r="O90" t="inlineStr">
        <is>
          <t>Fev</t>
        </is>
      </c>
      <c r="P90" t="inlineStr">
        <is>
          <t>Q1</t>
        </is>
      </c>
      <c r="Q90">
        <v>2025</v>
      </c>
      <c r="V90">
        <f>SUM(R90:U90)</f>
      </c>
      <c r="X90" t="inlineStr">
        <is>
          <t>Rejeitado</t>
        </is>
      </c>
      <c r="AC90">
        <f>AB90/AA90</f>
      </c>
      <c r="AD90">
        <f>AB90/2*12</f>
      </c>
    </row>
    <row r="91">
      <c r="A91" t="inlineStr">
        <is>
          <t>Rangel</t>
        </is>
      </c>
      <c r="B91" t="inlineStr">
        <is>
          <t>Logistica</t>
        </is>
      </c>
      <c r="C91" t="inlineStr">
        <is>
          <t>Video Institucional</t>
        </is>
      </c>
      <c r="D91" t="inlineStr">
        <is>
          <t>X</t>
        </is>
      </c>
      <c r="J91">
        <f>COUNTA(D91:I91)</f>
      </c>
      <c r="K91" t="inlineStr">
        <is>
          <t>Projeto</t>
        </is>
      </c>
      <c r="L91" t="inlineStr">
        <is>
          <t>Orçamento</t>
        </is>
      </c>
      <c r="N91" t="inlineStr">
        <is>
          <t>2025-02-23</t>
        </is>
      </c>
      <c r="O91" t="inlineStr">
        <is>
          <t>Fev</t>
        </is>
      </c>
      <c r="P91" t="inlineStr">
        <is>
          <t>Q1</t>
        </is>
      </c>
      <c r="Q91">
        <v>2025</v>
      </c>
      <c r="V91">
        <f>SUM(R91:U91)</f>
      </c>
      <c r="X91" t="inlineStr">
        <is>
          <t>Rejeitado</t>
        </is>
      </c>
      <c r="Z91" t="inlineStr">
        <is>
          <t>Ficou par a Mossa Film Labs</t>
        </is>
      </c>
      <c r="AC91">
        <f>AB91/AA91</f>
      </c>
      <c r="AD91">
        <f>AB91/2*12</f>
      </c>
    </row>
    <row r="92">
      <c r="A92" t="inlineStr">
        <is>
          <t>TopNew Portugal</t>
        </is>
      </c>
      <c r="B92" t="inlineStr">
        <is>
          <t>Retalho Direto</t>
        </is>
      </c>
      <c r="C92" t="inlineStr">
        <is>
          <t>Mkt Digital</t>
        </is>
      </c>
      <c r="G92" t="inlineStr">
        <is>
          <t>X</t>
        </is>
      </c>
      <c r="J92">
        <f>COUNTA(D92:I92)</f>
      </c>
      <c r="K92" t="inlineStr">
        <is>
          <t>Fee</t>
        </is>
      </c>
      <c r="L92" t="inlineStr">
        <is>
          <t>Criatividade</t>
        </is>
      </c>
      <c r="N92" t="inlineStr">
        <is>
          <t>2025-02-05</t>
        </is>
      </c>
      <c r="O92" t="inlineStr">
        <is>
          <t>Fev</t>
        </is>
      </c>
      <c r="P92" t="inlineStr">
        <is>
          <t>Q1</t>
        </is>
      </c>
      <c r="Q92">
        <v>2025</v>
      </c>
      <c r="V92">
        <f>SUM(R92:U92)</f>
      </c>
      <c r="X92" t="inlineStr">
        <is>
          <t>Rejeitado</t>
        </is>
      </c>
      <c r="AC92">
        <f>AB92/AA92</f>
      </c>
      <c r="AD92">
        <f>AB92/2*12</f>
      </c>
    </row>
    <row r="93">
      <c r="A93" t="inlineStr">
        <is>
          <t>Granvinhos</t>
        </is>
      </c>
      <c r="B93" t="inlineStr">
        <is>
          <t>Bebidas</t>
        </is>
      </c>
      <c r="C93" t="inlineStr">
        <is>
          <t>Conceito</t>
        </is>
      </c>
      <c r="D93" t="inlineStr">
        <is>
          <t>X</t>
        </is>
      </c>
      <c r="H93" t="inlineStr">
        <is>
          <t>X</t>
        </is>
      </c>
      <c r="J93">
        <f>COUNTA(D93:I93)</f>
      </c>
      <c r="K93" t="inlineStr">
        <is>
          <t>Projeto</t>
        </is>
      </c>
      <c r="L93" t="inlineStr">
        <is>
          <t>Orçamento</t>
        </is>
      </c>
      <c r="N93" t="inlineStr">
        <is>
          <t>2025-01-06</t>
        </is>
      </c>
      <c r="O93" t="inlineStr">
        <is>
          <t>Jan</t>
        </is>
      </c>
      <c r="P93" t="inlineStr">
        <is>
          <t>Q1</t>
        </is>
      </c>
      <c r="Q93">
        <v>2025</v>
      </c>
      <c r="V93">
        <f>SUM(R93:U93)</f>
      </c>
      <c r="X93" t="inlineStr">
        <is>
          <t>Rejeitado</t>
        </is>
      </c>
      <c r="AC93">
        <f>AB93/AA93</f>
      </c>
      <c r="AD93">
        <f>AB93/2*12</f>
      </c>
    </row>
    <row r="94">
      <c r="A94" t="inlineStr">
        <is>
          <t>Auchan</t>
        </is>
      </c>
      <c r="B94" t="inlineStr">
        <is>
          <t>Retalho Direto</t>
        </is>
      </c>
      <c r="D94" t="inlineStr">
        <is>
          <t>X</t>
        </is>
      </c>
      <c r="E94" t="inlineStr">
        <is>
          <t>X</t>
        </is>
      </c>
      <c r="H94" t="inlineStr">
        <is>
          <t>X</t>
        </is>
      </c>
      <c r="J94">
        <f>COUNTA(D94:I94)</f>
      </c>
      <c r="K94" t="inlineStr">
        <is>
          <t>Fee</t>
        </is>
      </c>
      <c r="L94" t="inlineStr">
        <is>
          <t>Criatividade</t>
        </is>
      </c>
      <c r="M94">
        <v>712608.00</v>
      </c>
      <c r="N94" t="inlineStr">
        <is>
          <t>2025-01-01</t>
        </is>
      </c>
      <c r="O94" t="inlineStr">
        <is>
          <t>Jan</t>
        </is>
      </c>
      <c r="P94" t="inlineStr">
        <is>
          <t>Q1</t>
        </is>
      </c>
      <c r="Q94">
        <v>2025</v>
      </c>
      <c r="R94">
        <v>1</v>
      </c>
      <c r="S94">
        <v>1</v>
      </c>
      <c r="T94">
        <v>1</v>
      </c>
      <c r="V94">
        <f>SUM(R94:U94)</f>
      </c>
      <c r="X94" t="inlineStr">
        <is>
          <t>Perdido</t>
        </is>
      </c>
      <c r="AC94">
        <f>AB94/AA94</f>
      </c>
      <c r="AD94">
        <f>AB94/2*12</f>
      </c>
    </row>
    <row r="95">
      <c r="A95" t="inlineStr">
        <is>
          <t>Sovena (Fula &amp; Oliveira)</t>
        </is>
      </c>
      <c r="B95" t="inlineStr">
        <is>
          <t>Food</t>
        </is>
      </c>
      <c r="C95" t="inlineStr">
        <is>
          <t>SMM</t>
        </is>
      </c>
      <c r="F95" t="inlineStr">
        <is>
          <t>X</t>
        </is>
      </c>
      <c r="J95">
        <f>COUNTA(D95:I95)</f>
      </c>
      <c r="K95" t="inlineStr">
        <is>
          <t>Fee</t>
        </is>
      </c>
      <c r="L95" t="inlineStr">
        <is>
          <t>Estratégia</t>
        </is>
      </c>
      <c r="M95">
        <v>81834.00</v>
      </c>
      <c r="N95" t="inlineStr">
        <is>
          <t>2025-01-01</t>
        </is>
      </c>
      <c r="O95" t="inlineStr">
        <is>
          <t>Jan</t>
        </is>
      </c>
      <c r="P95" t="inlineStr">
        <is>
          <t>Q1</t>
        </is>
      </c>
      <c r="Q95">
        <v>2025</v>
      </c>
      <c r="R95">
        <v>1</v>
      </c>
      <c r="S95">
        <v>1</v>
      </c>
      <c r="V95">
        <f>SUM(R95:U95)</f>
      </c>
      <c r="X95" t="inlineStr">
        <is>
          <t>Perdido</t>
        </is>
      </c>
      <c r="Y95" t="inlineStr">
        <is>
          <t>2025-05-05</t>
        </is>
      </c>
      <c r="Z95" t="inlineStr">
        <is>
          <t>Demasiada Prod Externa</t>
        </is>
      </c>
      <c r="AC95">
        <f>AB95/AA95</f>
      </c>
      <c r="AD95">
        <f>AB95/2*12</f>
      </c>
    </row>
    <row r="96">
      <c r="A96" t="inlineStr">
        <is>
          <t>Agência Portuguesa Ambiente</t>
        </is>
      </c>
      <c r="B96" t="inlineStr">
        <is>
          <t>Público</t>
        </is>
      </c>
      <c r="C96" t="inlineStr">
        <is>
          <t>Campanha</t>
        </is>
      </c>
      <c r="I96" t="inlineStr">
        <is>
          <t>X</t>
        </is>
      </c>
      <c r="J96">
        <f>COUNTA(D96:I96)</f>
      </c>
      <c r="K96" t="inlineStr">
        <is>
          <t>Projeto</t>
        </is>
      </c>
      <c r="L96" t="inlineStr">
        <is>
          <t>Criatividade</t>
        </is>
      </c>
      <c r="M96">
        <v>1324500.00</v>
      </c>
      <c r="N96" t="inlineStr">
        <is>
          <t>2025-01-02</t>
        </is>
      </c>
      <c r="O96" t="inlineStr">
        <is>
          <t>Jan</t>
        </is>
      </c>
      <c r="P96" t="inlineStr">
        <is>
          <t>Q1</t>
        </is>
      </c>
      <c r="Q96">
        <v>2025</v>
      </c>
      <c r="S96">
        <v>1</v>
      </c>
      <c r="T96">
        <v>1</v>
      </c>
      <c r="V96">
        <f>SUM(R96:U96)</f>
      </c>
      <c r="X96" t="inlineStr">
        <is>
          <t>Ganho</t>
        </is>
      </c>
      <c r="Y96" t="inlineStr">
        <is>
          <t>2025-08-07</t>
        </is>
      </c>
      <c r="Z96" t="inlineStr">
        <is>
          <t>Parceria: Nova Expressão e Comcorp</t>
        </is>
      </c>
      <c r="AB96">
        <v>502500.00</v>
      </c>
      <c r="AC96">
        <f>AB96/AA96</f>
      </c>
      <c r="AD96">
        <f>AB96/2*12</f>
      </c>
      <c r="AE96">
        <v>1</v>
      </c>
    </row>
    <row r="97">
      <c r="A97" t="inlineStr">
        <is>
          <t>Joao Portugal Ramos</t>
        </is>
      </c>
      <c r="B97" t="inlineStr">
        <is>
          <t>Bebidas</t>
        </is>
      </c>
      <c r="C97" t="inlineStr">
        <is>
          <t>Conceito Comms</t>
        </is>
      </c>
      <c r="D97" t="inlineStr">
        <is>
          <t>X</t>
        </is>
      </c>
      <c r="J97">
        <f>COUNTA(D97:I97)</f>
      </c>
      <c r="K97" t="inlineStr">
        <is>
          <t>Projeto</t>
        </is>
      </c>
      <c r="L97" t="inlineStr">
        <is>
          <t>Orçamento</t>
        </is>
      </c>
      <c r="M97">
        <v>6000.00</v>
      </c>
      <c r="N97" t="inlineStr">
        <is>
          <t>2025-01-16</t>
        </is>
      </c>
      <c r="O97" t="inlineStr">
        <is>
          <t>Jan</t>
        </is>
      </c>
      <c r="P97" t="inlineStr">
        <is>
          <t>Q1</t>
        </is>
      </c>
      <c r="Q97">
        <v>2025</v>
      </c>
      <c r="S97">
        <v>1</v>
      </c>
      <c r="V97">
        <f>SUM(R97:U97)</f>
      </c>
      <c r="X97" t="inlineStr">
        <is>
          <t>Ganho</t>
        </is>
      </c>
      <c r="Y97" t="inlineStr">
        <is>
          <t>2025-02-14</t>
        </is>
      </c>
      <c r="AA97">
        <v>6000.00</v>
      </c>
      <c r="AC97">
        <f>AB97/AA97</f>
      </c>
      <c r="AD97">
        <f>AB97/2*12</f>
      </c>
      <c r="AE97">
        <v>2</v>
      </c>
    </row>
    <row r="98">
      <c r="A98" t="inlineStr">
        <is>
          <t>NEYA Hotels</t>
        </is>
      </c>
      <c r="B98" t="inlineStr">
        <is>
          <t>Hotelaria</t>
        </is>
      </c>
      <c r="C98" t="inlineStr">
        <is>
          <t>Website</t>
        </is>
      </c>
      <c r="G98" t="inlineStr">
        <is>
          <t>X</t>
        </is>
      </c>
      <c r="J98">
        <f>COUNTA(D98:I98)</f>
      </c>
      <c r="K98" t="inlineStr">
        <is>
          <t>Projeto</t>
        </is>
      </c>
      <c r="L98" t="inlineStr">
        <is>
          <t>Orçamento</t>
        </is>
      </c>
      <c r="N98" t="inlineStr">
        <is>
          <t>2025-01-10</t>
        </is>
      </c>
      <c r="O98" t="inlineStr">
        <is>
          <t>Jan</t>
        </is>
      </c>
      <c r="P98" t="inlineStr">
        <is>
          <t>Q1</t>
        </is>
      </c>
      <c r="Q98">
        <v>2025</v>
      </c>
      <c r="T98">
        <v>1</v>
      </c>
      <c r="V98">
        <f>SUM(R98:U98)</f>
      </c>
      <c r="X98" t="inlineStr">
        <is>
          <t>Rejeitado</t>
        </is>
      </c>
      <c r="AC98">
        <f>AB98/AA98</f>
      </c>
      <c r="AD98">
        <f>AB98/2*12</f>
      </c>
    </row>
    <row r="99">
      <c r="A99" t="inlineStr">
        <is>
          <t>Pastelaria Mexicana</t>
        </is>
      </c>
      <c r="B99" t="inlineStr">
        <is>
          <t>Food</t>
        </is>
      </c>
      <c r="C99" t="inlineStr">
        <is>
          <t>Rebranding</t>
        </is>
      </c>
      <c r="H99" t="inlineStr">
        <is>
          <t>X</t>
        </is>
      </c>
      <c r="J99">
        <f>COUNTA(D99:I99)</f>
      </c>
      <c r="K99" t="inlineStr">
        <is>
          <t>Projeto</t>
        </is>
      </c>
      <c r="L99" t="inlineStr">
        <is>
          <t>Orçamento</t>
        </is>
      </c>
      <c r="M99">
        <v>11016.00</v>
      </c>
      <c r="N99" t="inlineStr">
        <is>
          <t>2025-01-15</t>
        </is>
      </c>
      <c r="O99" t="inlineStr">
        <is>
          <t>Jan</t>
        </is>
      </c>
      <c r="P99" t="inlineStr">
        <is>
          <t>Q1</t>
        </is>
      </c>
      <c r="Q99">
        <v>2025</v>
      </c>
      <c r="R99">
        <v>1</v>
      </c>
      <c r="S99">
        <v>1</v>
      </c>
      <c r="V99">
        <f>SUM(R99:U99)</f>
      </c>
      <c r="W99" t="inlineStr">
        <is>
          <t>Marca Histórica</t>
        </is>
      </c>
      <c r="X99" t="inlineStr">
        <is>
          <t>Perdido</t>
        </is>
      </c>
      <c r="Y99" t="inlineStr">
        <is>
          <t>2025-01-29</t>
        </is>
      </c>
      <c r="AC99">
        <f>AB99/AA99</f>
      </c>
      <c r="AD99">
        <f>AB99/2*12</f>
      </c>
    </row>
    <row r="100">
      <c r="A100" t="inlineStr">
        <is>
          <t>Camping Ericeira</t>
        </is>
      </c>
      <c r="B100" t="inlineStr">
        <is>
          <t>Hotelaria</t>
        </is>
      </c>
      <c r="C100" t="inlineStr">
        <is>
          <t>Rebranding</t>
        </is>
      </c>
      <c r="H100" t="inlineStr">
        <is>
          <t>X</t>
        </is>
      </c>
      <c r="J100">
        <f>COUNTA(D100:I100)</f>
      </c>
      <c r="K100" t="inlineStr">
        <is>
          <t>Projeto</t>
        </is>
      </c>
      <c r="L100" t="inlineStr">
        <is>
          <t>Orçamento</t>
        </is>
      </c>
      <c r="N100" t="inlineStr">
        <is>
          <t>2025-01-07</t>
        </is>
      </c>
      <c r="O100" t="inlineStr">
        <is>
          <t>Jan</t>
        </is>
      </c>
      <c r="P100" t="inlineStr">
        <is>
          <t>Q1</t>
        </is>
      </c>
      <c r="Q100">
        <v>2025</v>
      </c>
      <c r="V100">
        <f>SUM(R100:U100)</f>
      </c>
      <c r="X100" t="inlineStr">
        <is>
          <t>Rejeitado</t>
        </is>
      </c>
      <c r="AC100">
        <f>AB100/AA100</f>
      </c>
      <c r="AD100">
        <f>AB100/2*12</f>
      </c>
    </row>
    <row r="101">
      <c r="A101" t="inlineStr">
        <is>
          <t>Vanguard - White Shell</t>
        </is>
      </c>
      <c r="B101" t="inlineStr">
        <is>
          <t>Imobiliário</t>
        </is>
      </c>
      <c r="C101" t="inlineStr">
        <is>
          <t>Brochura</t>
        </is>
      </c>
      <c r="G101" t="inlineStr">
        <is>
          <t>X</t>
        </is>
      </c>
      <c r="J101">
        <f>COUNTA(D101:I101)</f>
      </c>
      <c r="K101" t="inlineStr">
        <is>
          <t>Projeto</t>
        </is>
      </c>
      <c r="L101" t="inlineStr">
        <is>
          <t>Orçamento</t>
        </is>
      </c>
      <c r="M101">
        <v>7165.00</v>
      </c>
      <c r="N101" t="inlineStr">
        <is>
          <t>2025-01-15</t>
        </is>
      </c>
      <c r="O101" t="inlineStr">
        <is>
          <t>Jan</t>
        </is>
      </c>
      <c r="P101" t="inlineStr">
        <is>
          <t>Q1</t>
        </is>
      </c>
      <c r="Q101">
        <v>2025</v>
      </c>
      <c r="R101">
        <v>1</v>
      </c>
      <c r="U101">
        <v>1</v>
      </c>
      <c r="V101">
        <f>SUM(R101:U101)</f>
      </c>
      <c r="W101" t="inlineStr">
        <is>
          <t>Antigo Cliente/Lider</t>
        </is>
      </c>
      <c r="X101" t="inlineStr">
        <is>
          <t>Perdido</t>
        </is>
      </c>
      <c r="Y101" t="inlineStr">
        <is>
          <t>2025-01-31</t>
        </is>
      </c>
      <c r="AC101">
        <f>AB101/AA101</f>
      </c>
      <c r="AD101">
        <f>AB101/2*12</f>
      </c>
    </row>
    <row r="102">
      <c r="A102" t="inlineStr">
        <is>
          <t>Tribeca - SIC</t>
        </is>
      </c>
      <c r="B102" t="inlineStr">
        <is>
          <t>Entretenimento</t>
        </is>
      </c>
      <c r="C102" t="inlineStr">
        <is>
          <t>Comms 360</t>
        </is>
      </c>
      <c r="I102" t="inlineStr">
        <is>
          <t>X</t>
        </is>
      </c>
      <c r="J102">
        <f>COUNTA(D102:I102)</f>
      </c>
      <c r="K102" t="inlineStr">
        <is>
          <t>Projeto</t>
        </is>
      </c>
      <c r="L102" t="inlineStr">
        <is>
          <t>Orçamento</t>
        </is>
      </c>
      <c r="M102">
        <v>68072.00</v>
      </c>
      <c r="N102" t="inlineStr">
        <is>
          <t>2025-01-24</t>
        </is>
      </c>
      <c r="O102" t="inlineStr">
        <is>
          <t>Jan</t>
        </is>
      </c>
      <c r="P102" t="inlineStr">
        <is>
          <t>Q1</t>
        </is>
      </c>
      <c r="Q102">
        <v>2025</v>
      </c>
      <c r="R102">
        <v>1</v>
      </c>
      <c r="S102">
        <v>1</v>
      </c>
      <c r="V102">
        <f>SUM(R102:U102)</f>
      </c>
      <c r="X102" t="inlineStr">
        <is>
          <t>Rejeitado</t>
        </is>
      </c>
      <c r="Y102" t="inlineStr">
        <is>
          <t>2025-01-31</t>
        </is>
      </c>
      <c r="Z102" t="inlineStr">
        <is>
          <t>Não avançaram com agência.</t>
        </is>
      </c>
      <c r="AC102">
        <f>AB102/AA102</f>
      </c>
      <c r="AD102">
        <f>AB102/2*12</f>
      </c>
    </row>
    <row r="103">
      <c r="A103" t="inlineStr">
        <is>
          <t>WOCK</t>
        </is>
      </c>
      <c r="B103" t="inlineStr">
        <is>
          <t>Retalho Direto</t>
        </is>
      </c>
      <c r="C103" t="inlineStr">
        <is>
          <t>Conceito Criativo</t>
        </is>
      </c>
      <c r="D103" t="inlineStr">
        <is>
          <t>X</t>
        </is>
      </c>
      <c r="J103">
        <f>COUNTA(D103:I103)</f>
      </c>
      <c r="K103" t="inlineStr">
        <is>
          <t>Projeto</t>
        </is>
      </c>
      <c r="L103" t="inlineStr">
        <is>
          <t>Orçamento</t>
        </is>
      </c>
      <c r="N103" t="inlineStr">
        <is>
          <t>2025-01-16</t>
        </is>
      </c>
      <c r="O103" t="inlineStr">
        <is>
          <t>Jan</t>
        </is>
      </c>
      <c r="P103" t="inlineStr">
        <is>
          <t>Q1</t>
        </is>
      </c>
      <c r="Q103">
        <v>2025</v>
      </c>
      <c r="V103">
        <f>SUM(R103:U103)</f>
      </c>
      <c r="X103" t="inlineStr">
        <is>
          <t>Rejeitado</t>
        </is>
      </c>
      <c r="AC103">
        <f>AB103/AA103</f>
      </c>
      <c r="AD103">
        <f>AB103/2*12</f>
      </c>
    </row>
    <row r="104">
      <c r="A104" t="inlineStr">
        <is>
          <t>Ana Aeroportos</t>
        </is>
      </c>
      <c r="B104" t="inlineStr">
        <is>
          <t>Transportes</t>
        </is>
      </c>
      <c r="C104" t="inlineStr">
        <is>
          <t>Relatório Sust.</t>
        </is>
      </c>
      <c r="H104" t="inlineStr">
        <is>
          <t>X</t>
        </is>
      </c>
      <c r="J104">
        <f>COUNTA(D104:I104)</f>
      </c>
      <c r="K104" t="inlineStr">
        <is>
          <t>Projeto</t>
        </is>
      </c>
      <c r="L104" t="inlineStr">
        <is>
          <t>Orçamento</t>
        </is>
      </c>
      <c r="N104" t="inlineStr">
        <is>
          <t>2025-01-17</t>
        </is>
      </c>
      <c r="O104" t="inlineStr">
        <is>
          <t>Jan</t>
        </is>
      </c>
      <c r="P104" t="inlineStr">
        <is>
          <t>Q1</t>
        </is>
      </c>
      <c r="Q104">
        <v>2025</v>
      </c>
      <c r="R104">
        <v>1</v>
      </c>
      <c r="V104">
        <f>SUM(R104:U104)</f>
      </c>
      <c r="X104" t="inlineStr">
        <is>
          <t>Rejeitado</t>
        </is>
      </c>
      <c r="AC104">
        <f>AB104/AA104</f>
      </c>
      <c r="AD104">
        <f>AB104/2*12</f>
      </c>
    </row>
    <row r="105">
      <c r="A105" t="inlineStr">
        <is>
          <t>ABC CoLAB</t>
        </is>
      </c>
      <c r="B105" t="inlineStr">
        <is>
          <t>Saúde</t>
        </is>
      </c>
      <c r="C105" t="inlineStr">
        <is>
          <t>Consultoria</t>
        </is>
      </c>
      <c r="G105" t="inlineStr">
        <is>
          <t>X</t>
        </is>
      </c>
      <c r="H105" t="inlineStr">
        <is>
          <t>X</t>
        </is>
      </c>
      <c r="J105">
        <f>COUNTA(D105:I105)</f>
      </c>
      <c r="K105" t="inlineStr">
        <is>
          <t>Projeto</t>
        </is>
      </c>
      <c r="L105" t="inlineStr">
        <is>
          <t>Orçamento</t>
        </is>
      </c>
      <c r="N105" t="inlineStr">
        <is>
          <t>2025-01-17</t>
        </is>
      </c>
      <c r="O105" t="inlineStr">
        <is>
          <t>Jan</t>
        </is>
      </c>
      <c r="P105" t="inlineStr">
        <is>
          <t>Q1</t>
        </is>
      </c>
      <c r="Q105">
        <v>2025</v>
      </c>
      <c r="V105">
        <f>SUM(R105:U105)</f>
      </c>
      <c r="X105" t="inlineStr">
        <is>
          <t>Rejeitado</t>
        </is>
      </c>
      <c r="AC105">
        <f>AB105/AA105</f>
      </c>
      <c r="AD105">
        <f>AB105/2*12</f>
      </c>
    </row>
    <row r="106">
      <c r="A106" t="inlineStr">
        <is>
          <t>AdegaMãe</t>
        </is>
      </c>
      <c r="B106" t="inlineStr">
        <is>
          <t>Bebidas</t>
        </is>
      </c>
      <c r="C106" t="inlineStr">
        <is>
          <t>Comm Dig + Media</t>
        </is>
      </c>
      <c r="D106" t="inlineStr">
        <is>
          <t>X</t>
        </is>
      </c>
      <c r="F106" t="inlineStr">
        <is>
          <t>X</t>
        </is>
      </c>
      <c r="G106" t="inlineStr">
        <is>
          <t>X</t>
        </is>
      </c>
      <c r="J106">
        <f>COUNTA(D106:I106)</f>
      </c>
      <c r="K106" t="inlineStr">
        <is>
          <t>Projeto</t>
        </is>
      </c>
      <c r="L106" t="inlineStr">
        <is>
          <t>Criatividade</t>
        </is>
      </c>
      <c r="N106" t="inlineStr">
        <is>
          <t>2025-01-20</t>
        </is>
      </c>
      <c r="O106" t="inlineStr">
        <is>
          <t>Jan</t>
        </is>
      </c>
      <c r="P106" t="inlineStr">
        <is>
          <t>Q1</t>
        </is>
      </c>
      <c r="Q106">
        <v>2025</v>
      </c>
      <c r="U106">
        <v>1</v>
      </c>
      <c r="V106">
        <f>SUM(R106:U106)</f>
      </c>
      <c r="W106" t="inlineStr">
        <is>
          <t>Dono de Riberalves</t>
        </is>
      </c>
      <c r="X106" t="inlineStr">
        <is>
          <t>Rejeitado</t>
        </is>
      </c>
      <c r="AC106">
        <f>AB106/AA106</f>
      </c>
      <c r="AD106">
        <f>AB106/2*12</f>
      </c>
    </row>
    <row r="107">
      <c r="A107" t="inlineStr">
        <is>
          <t>NaturHouse</t>
        </is>
      </c>
      <c r="B107" t="inlineStr">
        <is>
          <t>Bem-Estar</t>
        </is>
      </c>
      <c r="C107" t="inlineStr">
        <is>
          <t>Comm Dig + Media</t>
        </is>
      </c>
      <c r="D107" t="inlineStr">
        <is>
          <t>X</t>
        </is>
      </c>
      <c r="F107" t="inlineStr">
        <is>
          <t>X</t>
        </is>
      </c>
      <c r="J107">
        <f>COUNTA(D107:I107)</f>
      </c>
      <c r="K107" t="inlineStr">
        <is>
          <t>Fee</t>
        </is>
      </c>
      <c r="L107" t="inlineStr">
        <is>
          <t>Criatividade</t>
        </is>
      </c>
      <c r="N107" t="inlineStr">
        <is>
          <t>2025-01-21</t>
        </is>
      </c>
      <c r="O107" t="inlineStr">
        <is>
          <t>Jan</t>
        </is>
      </c>
      <c r="P107" t="inlineStr">
        <is>
          <t>Q1</t>
        </is>
      </c>
      <c r="Q107">
        <v>2025</v>
      </c>
      <c r="V107">
        <f>SUM(R107:U107)</f>
      </c>
      <c r="X107" t="inlineStr">
        <is>
          <t>Rejeitado</t>
        </is>
      </c>
      <c r="AC107">
        <f>AB107/AA107</f>
      </c>
      <c r="AD107">
        <f>AB107/2*12</f>
      </c>
    </row>
    <row r="108">
      <c r="A108" t="inlineStr">
        <is>
          <t>AutreArquitetos BR</t>
        </is>
      </c>
      <c r="B108" t="inlineStr">
        <is>
          <t>Imobiliário</t>
        </is>
      </c>
      <c r="C108" t="inlineStr">
        <is>
          <t>Branding + Comms</t>
        </is>
      </c>
      <c r="E108" t="inlineStr">
        <is>
          <t>X</t>
        </is>
      </c>
      <c r="H108" t="inlineStr">
        <is>
          <t>X</t>
        </is>
      </c>
      <c r="J108">
        <f>COUNTA(D108:I108)</f>
      </c>
      <c r="K108" t="inlineStr">
        <is>
          <t>Projeto</t>
        </is>
      </c>
      <c r="L108" t="inlineStr">
        <is>
          <t>Orçamento</t>
        </is>
      </c>
      <c r="N108" t="inlineStr">
        <is>
          <t>2025-01-21</t>
        </is>
      </c>
      <c r="O108" t="inlineStr">
        <is>
          <t>Jan</t>
        </is>
      </c>
      <c r="P108" t="inlineStr">
        <is>
          <t>Q1</t>
        </is>
      </c>
      <c r="Q108">
        <v>2025</v>
      </c>
      <c r="V108">
        <f>SUM(R108:U108)</f>
      </c>
      <c r="X108" t="inlineStr">
        <is>
          <t>Rejeitado</t>
        </is>
      </c>
      <c r="AC108">
        <f>AB108/AA108</f>
      </c>
      <c r="AD108">
        <f>AB108/2*12</f>
      </c>
    </row>
    <row r="109">
      <c r="A109" t="inlineStr">
        <is>
          <t>Las Muns</t>
        </is>
      </c>
      <c r="B109" t="inlineStr">
        <is>
          <t>Food</t>
        </is>
      </c>
      <c r="D109" t="inlineStr">
        <is>
          <t>X</t>
        </is>
      </c>
      <c r="F109" t="inlineStr">
        <is>
          <t>X</t>
        </is>
      </c>
      <c r="J109">
        <f>COUNTA(D109:I109)</f>
      </c>
      <c r="K109" t="inlineStr">
        <is>
          <t>Projeto</t>
        </is>
      </c>
      <c r="L109" t="inlineStr">
        <is>
          <t>Orçamento</t>
        </is>
      </c>
      <c r="N109" t="inlineStr">
        <is>
          <t>2025-01-24</t>
        </is>
      </c>
      <c r="O109" t="inlineStr">
        <is>
          <t>Jan</t>
        </is>
      </c>
      <c r="P109" t="inlineStr">
        <is>
          <t>Q1</t>
        </is>
      </c>
      <c r="Q109">
        <v>2025</v>
      </c>
      <c r="V109">
        <f>SUM(R109:U109)</f>
      </c>
      <c r="X109" t="inlineStr">
        <is>
          <t>Rejeitado</t>
        </is>
      </c>
      <c r="AC109">
        <f>AB109/AA109</f>
      </c>
      <c r="AD109">
        <f>AB109/2*12</f>
      </c>
    </row>
    <row r="110">
      <c r="A110" t="inlineStr">
        <is>
          <t>PrimaPrix</t>
        </is>
      </c>
      <c r="B110" t="inlineStr">
        <is>
          <t>Retalho Direto</t>
        </is>
      </c>
      <c r="C110" t="inlineStr">
        <is>
          <t>Social Media</t>
        </is>
      </c>
      <c r="F110" t="inlineStr">
        <is>
          <t>X</t>
        </is>
      </c>
      <c r="J110">
        <f>COUNTA(D110:I110)</f>
      </c>
      <c r="K110" t="inlineStr">
        <is>
          <t>Fee</t>
        </is>
      </c>
      <c r="L110" t="inlineStr">
        <is>
          <t>Estratégia</t>
        </is>
      </c>
      <c r="N110" t="inlineStr">
        <is>
          <t>2025-03-04</t>
        </is>
      </c>
      <c r="O110" t="inlineStr">
        <is>
          <t>Mar</t>
        </is>
      </c>
      <c r="P110" t="inlineStr">
        <is>
          <t>Q1</t>
        </is>
      </c>
      <c r="Q110">
        <v>2025</v>
      </c>
      <c r="T110">
        <v>1</v>
      </c>
      <c r="V110">
        <f>SUM(R110:U110)</f>
      </c>
      <c r="X110" t="inlineStr">
        <is>
          <t>Rejeitado</t>
        </is>
      </c>
      <c r="AC110">
        <f>AB110/AA110</f>
      </c>
      <c r="AD110">
        <f>AB110/2*12</f>
      </c>
    </row>
    <row r="111">
      <c r="A111" t="inlineStr">
        <is>
          <t>Alecrim Real Estate</t>
        </is>
      </c>
      <c r="B111" t="inlineStr">
        <is>
          <t>Imobiliário</t>
        </is>
      </c>
      <c r="C111" t="inlineStr">
        <is>
          <t>Branding + Comms</t>
        </is>
      </c>
      <c r="I111" t="inlineStr">
        <is>
          <t>X</t>
        </is>
      </c>
      <c r="J111">
        <f>COUNTA(D111:I111)</f>
      </c>
      <c r="K111" t="inlineStr">
        <is>
          <t>Projeto</t>
        </is>
      </c>
      <c r="L111" t="inlineStr">
        <is>
          <t>Orçamento</t>
        </is>
      </c>
      <c r="M111">
        <v>41600.00</v>
      </c>
      <c r="N111" t="inlineStr">
        <is>
          <t>2025-03-05</t>
        </is>
      </c>
      <c r="O111" t="inlineStr">
        <is>
          <t>Mar</t>
        </is>
      </c>
      <c r="P111" t="inlineStr">
        <is>
          <t>Q1</t>
        </is>
      </c>
      <c r="Q111">
        <v>2025</v>
      </c>
      <c r="S111">
        <v>1</v>
      </c>
      <c r="T111">
        <v>1</v>
      </c>
      <c r="U111">
        <v>1</v>
      </c>
      <c r="V111">
        <f>SUM(R111:U111)</f>
      </c>
      <c r="W111" t="inlineStr">
        <is>
          <t>Antigo Cliente</t>
        </is>
      </c>
      <c r="X111" t="inlineStr">
        <is>
          <t>Perdido</t>
        </is>
      </c>
      <c r="Y111" t="inlineStr">
        <is>
          <t>2025-04-29</t>
        </is>
      </c>
      <c r="Z111" t="inlineStr">
        <is>
          <t>Judas. Experiência Comporta</t>
        </is>
      </c>
      <c r="AC111">
        <f>AB111/AA111</f>
      </c>
      <c r="AD111">
        <f>AB111/2*12</f>
      </c>
    </row>
    <row r="112">
      <c r="A112" t="inlineStr">
        <is>
          <t>Anivite - Gimcat</t>
        </is>
      </c>
      <c r="B112" t="inlineStr">
        <is>
          <t>Retalho Direto</t>
        </is>
      </c>
      <c r="C112" t="inlineStr">
        <is>
          <t>Campanha YT</t>
        </is>
      </c>
      <c r="D112" t="inlineStr">
        <is>
          <t>X</t>
        </is>
      </c>
      <c r="J112">
        <f>COUNTA(D112:I112)</f>
      </c>
      <c r="K112" t="inlineStr">
        <is>
          <t>Projeto</t>
        </is>
      </c>
      <c r="L112" t="inlineStr">
        <is>
          <t>Orçamento</t>
        </is>
      </c>
      <c r="N112" t="inlineStr">
        <is>
          <t>2025-03-06</t>
        </is>
      </c>
      <c r="O112" t="inlineStr">
        <is>
          <t>Mar</t>
        </is>
      </c>
      <c r="P112" t="inlineStr">
        <is>
          <t>Q1</t>
        </is>
      </c>
      <c r="Q112">
        <v>2025</v>
      </c>
      <c r="V112">
        <f>SUM(R112:U112)</f>
      </c>
      <c r="X112" t="inlineStr">
        <is>
          <t>Rejeitado</t>
        </is>
      </c>
      <c r="AC112">
        <f>AB112/AA112</f>
      </c>
      <c r="AD112">
        <f>AB112/2*12</f>
      </c>
    </row>
    <row r="113">
      <c r="A113" t="inlineStr">
        <is>
          <t>Jardim Zoológico Lisboa</t>
        </is>
      </c>
      <c r="B113" t="inlineStr">
        <is>
          <t>Cultura</t>
        </is>
      </c>
      <c r="C113" t="inlineStr">
        <is>
          <t>Campanha</t>
        </is>
      </c>
      <c r="D113" t="inlineStr">
        <is>
          <t>X</t>
        </is>
      </c>
      <c r="J113">
        <f>COUNTA(D113:I113)</f>
      </c>
      <c r="K113" t="inlineStr">
        <is>
          <t>Projeto</t>
        </is>
      </c>
      <c r="L113" t="inlineStr">
        <is>
          <t>Criatividade</t>
        </is>
      </c>
      <c r="M113">
        <v>46000.00</v>
      </c>
      <c r="N113" t="inlineStr">
        <is>
          <t>2025-03-24</t>
        </is>
      </c>
      <c r="O113" t="inlineStr">
        <is>
          <t>Mar</t>
        </is>
      </c>
      <c r="P113" t="inlineStr">
        <is>
          <t>Q1</t>
        </is>
      </c>
      <c r="Q113">
        <v>2025</v>
      </c>
      <c r="R113">
        <v>1</v>
      </c>
      <c r="S113">
        <v>1</v>
      </c>
      <c r="V113">
        <f>SUM(R113:U113)</f>
      </c>
      <c r="X113" t="inlineStr">
        <is>
          <t>Ganho</t>
        </is>
      </c>
      <c r="Y113" t="inlineStr">
        <is>
          <t>2025-05-27</t>
        </is>
      </c>
      <c r="AA113">
        <v>28050.00</v>
      </c>
      <c r="AB113">
        <v>12313.00</v>
      </c>
      <c r="AC113">
        <f>AB113/AA113</f>
      </c>
      <c r="AD113">
        <f>AB113/2*12</f>
      </c>
      <c r="AE113">
        <v>2</v>
      </c>
    </row>
    <row r="114">
      <c r="A114" t="inlineStr">
        <is>
          <t>Madeira - Produto Cultura</t>
        </is>
      </c>
      <c r="B114" t="inlineStr">
        <is>
          <t>Turismo</t>
        </is>
      </c>
      <c r="C114" t="inlineStr">
        <is>
          <t>Campanha e Web</t>
        </is>
      </c>
      <c r="D114" t="inlineStr">
        <is>
          <t>X</t>
        </is>
      </c>
      <c r="E114" t="inlineStr">
        <is>
          <t>X</t>
        </is>
      </c>
      <c r="G114" t="inlineStr">
        <is>
          <t>X</t>
        </is>
      </c>
      <c r="J114">
        <f>COUNTA(D114:I114)</f>
      </c>
      <c r="K114" t="inlineStr">
        <is>
          <t>Projeto</t>
        </is>
      </c>
      <c r="L114" t="inlineStr">
        <is>
          <t>Orçamento</t>
        </is>
      </c>
      <c r="N114" t="inlineStr">
        <is>
          <t>2025-03-25</t>
        </is>
      </c>
      <c r="O114" t="inlineStr">
        <is>
          <t>Mar</t>
        </is>
      </c>
      <c r="P114" t="inlineStr">
        <is>
          <t>Q1</t>
        </is>
      </c>
      <c r="Q114">
        <v>2025</v>
      </c>
      <c r="S114">
        <v>1</v>
      </c>
      <c r="T114">
        <v>1</v>
      </c>
      <c r="U114">
        <v>1</v>
      </c>
      <c r="V114">
        <f>SUM(R114:U114)</f>
      </c>
      <c r="W114" t="inlineStr">
        <is>
          <t>Antigo Cliente</t>
        </is>
      </c>
      <c r="X114" t="inlineStr">
        <is>
          <t>Perdido</t>
        </is>
      </c>
      <c r="Z114" t="inlineStr">
        <is>
          <t>sem resposta</t>
        </is>
      </c>
      <c r="AC114">
        <f>AB114/AA114</f>
      </c>
      <c r="AD114">
        <f>AB114/2*12</f>
      </c>
    </row>
    <row r="115">
      <c r="A115" t="inlineStr">
        <is>
          <t>CleanUp</t>
        </is>
      </c>
      <c r="B115" t="inlineStr">
        <is>
          <t>Logistica</t>
        </is>
      </c>
      <c r="C115" t="inlineStr">
        <is>
          <t>Social Media</t>
        </is>
      </c>
      <c r="F115" t="inlineStr">
        <is>
          <t>X</t>
        </is>
      </c>
      <c r="J115">
        <f>COUNTA(D115:I115)</f>
      </c>
      <c r="K115" t="inlineStr">
        <is>
          <t>Fee</t>
        </is>
      </c>
      <c r="L115" t="inlineStr">
        <is>
          <t>Orçamento</t>
        </is>
      </c>
      <c r="N115" t="inlineStr">
        <is>
          <t>2025-03-21</t>
        </is>
      </c>
      <c r="O115" t="inlineStr">
        <is>
          <t>Mar</t>
        </is>
      </c>
      <c r="P115" t="inlineStr">
        <is>
          <t>Q1</t>
        </is>
      </c>
      <c r="Q115">
        <v>2025</v>
      </c>
      <c r="V115">
        <f>SUM(R115:U115)</f>
      </c>
      <c r="X115" t="inlineStr">
        <is>
          <t>Rejeitado</t>
        </is>
      </c>
      <c r="AC115">
        <f>AB115/AA115</f>
      </c>
      <c r="AD115">
        <f>AB115/2*12</f>
      </c>
    </row>
    <row r="116">
      <c r="A116" t="inlineStr">
        <is>
          <t>Casa Saúde Guimarães</t>
        </is>
      </c>
      <c r="B116" t="inlineStr">
        <is>
          <t>Saúde</t>
        </is>
      </c>
      <c r="C116" t="inlineStr">
        <is>
          <t>Rebranding</t>
        </is>
      </c>
      <c r="G116" t="inlineStr">
        <is>
          <t>X</t>
        </is>
      </c>
      <c r="J116">
        <f>COUNTA(D116:I116)</f>
      </c>
      <c r="K116" t="inlineStr">
        <is>
          <t>Projeto</t>
        </is>
      </c>
      <c r="L116" t="inlineStr">
        <is>
          <t>Orçamento</t>
        </is>
      </c>
      <c r="N116" t="inlineStr">
        <is>
          <t>2025-03-21</t>
        </is>
      </c>
      <c r="O116" t="inlineStr">
        <is>
          <t>Mar</t>
        </is>
      </c>
      <c r="P116" t="inlineStr">
        <is>
          <t>Q1</t>
        </is>
      </c>
      <c r="Q116">
        <v>2025</v>
      </c>
      <c r="V116">
        <f>SUM(R116:U116)</f>
      </c>
      <c r="X116" t="inlineStr">
        <is>
          <t>Rejeitado</t>
        </is>
      </c>
      <c r="AC116">
        <f>AB116/AA116</f>
      </c>
      <c r="AD116">
        <f>AB116/2*12</f>
      </c>
    </row>
    <row r="117">
      <c r="A117" t="inlineStr">
        <is>
          <t>Present Techonolgies</t>
        </is>
      </c>
      <c r="B117" t="inlineStr">
        <is>
          <t>Tecnologia</t>
        </is>
      </c>
      <c r="C117" t="inlineStr">
        <is>
          <t>Branding + Web</t>
        </is>
      </c>
      <c r="G117" t="inlineStr">
        <is>
          <t>X</t>
        </is>
      </c>
      <c r="H117" t="inlineStr">
        <is>
          <t>X</t>
        </is>
      </c>
      <c r="J117">
        <f>COUNTA(D117:I117)</f>
      </c>
      <c r="K117" t="inlineStr">
        <is>
          <t>Projeto</t>
        </is>
      </c>
      <c r="L117" t="inlineStr">
        <is>
          <t>Orçamento</t>
        </is>
      </c>
      <c r="N117" t="inlineStr">
        <is>
          <t>2025-03-28</t>
        </is>
      </c>
      <c r="O117" t="inlineStr">
        <is>
          <t>Mar</t>
        </is>
      </c>
      <c r="P117" t="inlineStr">
        <is>
          <t>Q1</t>
        </is>
      </c>
      <c r="Q117">
        <v>2025</v>
      </c>
      <c r="T117">
        <v>1</v>
      </c>
      <c r="V117">
        <f>SUM(R117:U117)</f>
      </c>
      <c r="W117" t="inlineStr">
        <is>
          <t>Sem resposta</t>
        </is>
      </c>
      <c r="X117" t="inlineStr">
        <is>
          <t>Rejeitado</t>
        </is>
      </c>
      <c r="AC117">
        <f>AB117/AA117</f>
      </c>
      <c r="AD117">
        <f>AB117/2*12</f>
      </c>
    </row>
    <row r="118">
      <c r="A118" t="inlineStr">
        <is>
          <t>PowerShield</t>
        </is>
      </c>
      <c r="B118" t="inlineStr">
        <is>
          <t>Segurança</t>
        </is>
      </c>
      <c r="C118" t="inlineStr">
        <is>
          <t>Website</t>
        </is>
      </c>
      <c r="G118" t="inlineStr">
        <is>
          <t>X</t>
        </is>
      </c>
      <c r="J118">
        <f>COUNTA(D118:I118)</f>
      </c>
      <c r="K118" t="inlineStr">
        <is>
          <t>Projeto</t>
        </is>
      </c>
      <c r="L118" t="inlineStr">
        <is>
          <t>Orçamento</t>
        </is>
      </c>
      <c r="N118" t="inlineStr">
        <is>
          <t>2025-04-02</t>
        </is>
      </c>
      <c r="O118" t="inlineStr">
        <is>
          <t>Abr</t>
        </is>
      </c>
      <c r="P118" t="inlineStr">
        <is>
          <t>Q2</t>
        </is>
      </c>
      <c r="Q118">
        <v>2025</v>
      </c>
      <c r="V118">
        <f>SUM(R118:U118)</f>
      </c>
      <c r="X118" t="inlineStr">
        <is>
          <t>Rejeitado</t>
        </is>
      </c>
      <c r="AC118">
        <f>AB118/AA118</f>
      </c>
      <c r="AD118">
        <f>AB118/2*12</f>
      </c>
    </row>
    <row r="119">
      <c r="A119" t="inlineStr">
        <is>
          <t>Symington</t>
        </is>
      </c>
      <c r="B119" t="inlineStr">
        <is>
          <t>Bebidas</t>
        </is>
      </c>
      <c r="C119" t="inlineStr">
        <is>
          <t>Social Media</t>
        </is>
      </c>
      <c r="F119" t="inlineStr">
        <is>
          <t>X</t>
        </is>
      </c>
      <c r="J119">
        <f>COUNTA(D119:I119)</f>
      </c>
      <c r="K119" t="inlineStr">
        <is>
          <t>Projeto</t>
        </is>
      </c>
      <c r="L119" t="inlineStr">
        <is>
          <t>Orçamento</t>
        </is>
      </c>
      <c r="N119" t="inlineStr">
        <is>
          <t>2025-04-07</t>
        </is>
      </c>
      <c r="O119" t="inlineStr">
        <is>
          <t>Abr</t>
        </is>
      </c>
      <c r="P119" t="inlineStr">
        <is>
          <t>Q2</t>
        </is>
      </c>
      <c r="Q119">
        <v>2025</v>
      </c>
      <c r="R119">
        <v>1</v>
      </c>
      <c r="V119">
        <f>SUM(R119:U119)</f>
      </c>
      <c r="X119" t="inlineStr">
        <is>
          <t>Rejeitado</t>
        </is>
      </c>
      <c r="AC119">
        <f>AB119/AA119</f>
      </c>
      <c r="AD119">
        <f>AB119/2*12</f>
      </c>
    </row>
    <row r="120">
      <c r="A120" t="inlineStr">
        <is>
          <t>Observador</t>
        </is>
      </c>
      <c r="B120" t="inlineStr">
        <is>
          <t>Entretenimento</t>
        </is>
      </c>
      <c r="C120" t="inlineStr">
        <is>
          <t>Copy</t>
        </is>
      </c>
      <c r="D120" t="inlineStr">
        <is>
          <t>X</t>
        </is>
      </c>
      <c r="J120">
        <f>COUNTA(D120:I120)</f>
      </c>
      <c r="K120" t="inlineStr">
        <is>
          <t>Projeto</t>
        </is>
      </c>
      <c r="L120" t="inlineStr">
        <is>
          <t>Orçamento</t>
        </is>
      </c>
      <c r="N120" t="inlineStr">
        <is>
          <t>2025-04-04</t>
        </is>
      </c>
      <c r="O120" t="inlineStr">
        <is>
          <t>Abr</t>
        </is>
      </c>
      <c r="P120" t="inlineStr">
        <is>
          <t>Q2</t>
        </is>
      </c>
      <c r="Q120">
        <v>2025</v>
      </c>
      <c r="R120">
        <v>1</v>
      </c>
      <c r="V120">
        <f>SUM(R120:U120)</f>
      </c>
      <c r="X120" t="inlineStr">
        <is>
          <t>Rejeitado</t>
        </is>
      </c>
      <c r="AC120">
        <f>AB120/AA120</f>
      </c>
      <c r="AD120">
        <f>AB120/2*12</f>
      </c>
    </row>
    <row r="121">
      <c r="A121" t="inlineStr">
        <is>
          <t>Griffus /Parafina Bronze</t>
        </is>
      </c>
      <c r="B121" t="inlineStr">
        <is>
          <t>Cosmética</t>
        </is>
      </c>
      <c r="C121" t="inlineStr">
        <is>
          <t>360</t>
        </is>
      </c>
      <c r="I121" t="inlineStr">
        <is>
          <t>X</t>
        </is>
      </c>
      <c r="J121">
        <f>COUNTA(D121:I121)</f>
      </c>
      <c r="K121" t="inlineStr">
        <is>
          <t>Fee</t>
        </is>
      </c>
      <c r="L121" t="inlineStr">
        <is>
          <t>Orçamento</t>
        </is>
      </c>
      <c r="N121" t="inlineStr">
        <is>
          <t>2025-04-09</t>
        </is>
      </c>
      <c r="O121" t="inlineStr">
        <is>
          <t>Abr</t>
        </is>
      </c>
      <c r="P121" t="inlineStr">
        <is>
          <t>Q2</t>
        </is>
      </c>
      <c r="Q121">
        <v>2025</v>
      </c>
      <c r="V121">
        <f>SUM(R121:U121)</f>
      </c>
      <c r="X121" t="inlineStr">
        <is>
          <t>Rejeitado</t>
        </is>
      </c>
      <c r="AC121">
        <f>AB121/AA121</f>
      </c>
      <c r="AD121">
        <f>AB121/2*12</f>
      </c>
    </row>
    <row r="122">
      <c r="A122" t="inlineStr">
        <is>
          <t>Sociedade Ponto Verde</t>
        </is>
      </c>
      <c r="B122" t="inlineStr">
        <is>
          <t>Logistica</t>
        </is>
      </c>
      <c r="C122" t="inlineStr">
        <is>
          <t>360</t>
        </is>
      </c>
      <c r="I122" t="inlineStr">
        <is>
          <t>X</t>
        </is>
      </c>
      <c r="J122">
        <f>COUNTA(D122:I122)</f>
      </c>
      <c r="K122" t="inlineStr">
        <is>
          <t>Fee</t>
        </is>
      </c>
      <c r="L122" t="inlineStr">
        <is>
          <t>Criatividade</t>
        </is>
      </c>
      <c r="N122" t="inlineStr">
        <is>
          <t>2025-04-08</t>
        </is>
      </c>
      <c r="O122" t="inlineStr">
        <is>
          <t>Abr</t>
        </is>
      </c>
      <c r="P122" t="inlineStr">
        <is>
          <t>Q2</t>
        </is>
      </c>
      <c r="Q122">
        <v>2025</v>
      </c>
      <c r="R122">
        <v>1</v>
      </c>
      <c r="S122">
        <v>1</v>
      </c>
      <c r="T122">
        <v>1</v>
      </c>
      <c r="V122">
        <f>SUM(R122:U122)</f>
      </c>
      <c r="W122" t="inlineStr">
        <is>
          <t>Fuel/Havas</t>
        </is>
      </c>
      <c r="X122" t="inlineStr">
        <is>
          <t>Perdido</t>
        </is>
      </c>
      <c r="Y122" t="inlineStr">
        <is>
          <t>2025-06-03</t>
        </is>
      </c>
      <c r="AA122">
        <v>4250.00</v>
      </c>
      <c r="AC122">
        <f>AB122/AA122</f>
      </c>
      <c r="AD122">
        <f>AB122/2*12</f>
      </c>
    </row>
    <row r="123">
      <c r="A123" t="inlineStr">
        <is>
          <t>Queijos Tété</t>
        </is>
      </c>
      <c r="B123" t="inlineStr">
        <is>
          <t>Food</t>
        </is>
      </c>
      <c r="C123" t="inlineStr">
        <is>
          <t>Social Media</t>
        </is>
      </c>
      <c r="F123" t="inlineStr">
        <is>
          <t>X</t>
        </is>
      </c>
      <c r="J123">
        <f>COUNTA(D123:I123)</f>
      </c>
      <c r="K123" t="inlineStr">
        <is>
          <t>Fee</t>
        </is>
      </c>
      <c r="L123" t="inlineStr">
        <is>
          <t>Orçamento</t>
        </is>
      </c>
      <c r="N123" t="inlineStr">
        <is>
          <t>2025-04-17</t>
        </is>
      </c>
      <c r="O123" t="inlineStr">
        <is>
          <t>Abr</t>
        </is>
      </c>
      <c r="P123" t="inlineStr">
        <is>
          <t>Q2</t>
        </is>
      </c>
      <c r="Q123">
        <v>2025</v>
      </c>
      <c r="V123">
        <f>SUM(R123:U123)</f>
      </c>
      <c r="X123" t="inlineStr">
        <is>
          <t>Rejeitado</t>
        </is>
      </c>
      <c r="AC123">
        <f>AB123/AA123</f>
      </c>
      <c r="AD123">
        <f>AB123/2*12</f>
      </c>
    </row>
    <row r="124">
      <c r="A124" t="inlineStr">
        <is>
          <t>Natixis in Portugal</t>
        </is>
      </c>
      <c r="B124" t="inlineStr">
        <is>
          <t>Banca</t>
        </is>
      </c>
      <c r="C124" t="inlineStr">
        <is>
          <t>Estratégia Comms</t>
        </is>
      </c>
      <c r="E124" t="inlineStr">
        <is>
          <t>X</t>
        </is>
      </c>
      <c r="F124" t="inlineStr">
        <is>
          <t>X</t>
        </is>
      </c>
      <c r="J124">
        <f>COUNTA(D124:I124)</f>
      </c>
      <c r="K124" t="inlineStr">
        <is>
          <t>Fee</t>
        </is>
      </c>
      <c r="L124" t="inlineStr">
        <is>
          <t>Estratégia</t>
        </is>
      </c>
      <c r="N124" t="inlineStr">
        <is>
          <t>2025-04-15</t>
        </is>
      </c>
      <c r="O124" t="inlineStr">
        <is>
          <t>Abr</t>
        </is>
      </c>
      <c r="P124" t="inlineStr">
        <is>
          <t>Q2</t>
        </is>
      </c>
      <c r="Q124">
        <v>2025</v>
      </c>
      <c r="T124">
        <v>1</v>
      </c>
      <c r="V124">
        <f>SUM(R124:U124)</f>
      </c>
      <c r="X124" t="inlineStr">
        <is>
          <t>Rejeitado</t>
        </is>
      </c>
      <c r="AC124">
        <f>AB124/AA124</f>
      </c>
      <c r="AD124">
        <f>AB124/2*12</f>
      </c>
    </row>
    <row r="125">
      <c r="A125" t="inlineStr">
        <is>
          <t>Rialto</t>
        </is>
      </c>
      <c r="B125" t="inlineStr">
        <is>
          <t>Foods</t>
        </is>
      </c>
      <c r="C125" t="inlineStr">
        <is>
          <t>Video Produto</t>
        </is>
      </c>
      <c r="D125" t="inlineStr">
        <is>
          <t>X</t>
        </is>
      </c>
      <c r="J125">
        <f>COUNTA(D125:I125)</f>
      </c>
      <c r="K125" t="inlineStr">
        <is>
          <t>Projeto</t>
        </is>
      </c>
      <c r="L125" t="inlineStr">
        <is>
          <t>Orçamento</t>
        </is>
      </c>
      <c r="N125" t="inlineStr">
        <is>
          <t>2025-04-17</t>
        </is>
      </c>
      <c r="O125" t="inlineStr">
        <is>
          <t>Abr</t>
        </is>
      </c>
      <c r="P125" t="inlineStr">
        <is>
          <t>Q2</t>
        </is>
      </c>
      <c r="Q125">
        <v>2025</v>
      </c>
      <c r="V125">
        <f>SUM(R125:U125)</f>
      </c>
      <c r="X125" t="inlineStr">
        <is>
          <t>Rejeitado</t>
        </is>
      </c>
      <c r="AC125">
        <f>AB125/AA125</f>
      </c>
      <c r="AD125">
        <f>AB125/2*12</f>
      </c>
    </row>
    <row r="126">
      <c r="A126" t="inlineStr">
        <is>
          <t>Cimar</t>
        </is>
      </c>
      <c r="B126" t="inlineStr">
        <is>
          <t>Público</t>
        </is>
      </c>
      <c r="C126" t="inlineStr">
        <is>
          <t>Design de Vinil</t>
        </is>
      </c>
      <c r="H126" t="inlineStr">
        <is>
          <t>X</t>
        </is>
      </c>
      <c r="J126">
        <f>COUNTA(D126:I126)</f>
      </c>
      <c r="K126" t="inlineStr">
        <is>
          <t>Projeto</t>
        </is>
      </c>
      <c r="L126" t="inlineStr">
        <is>
          <t>Orçamento</t>
        </is>
      </c>
      <c r="N126" t="inlineStr">
        <is>
          <t>2025-04-22</t>
        </is>
      </c>
      <c r="O126" t="inlineStr">
        <is>
          <t>Abr</t>
        </is>
      </c>
      <c r="P126" t="inlineStr">
        <is>
          <t>Q2</t>
        </is>
      </c>
      <c r="Q126">
        <v>2025</v>
      </c>
      <c r="V126">
        <f>SUM(R126:U126)</f>
      </c>
      <c r="X126" t="inlineStr">
        <is>
          <t>Rejeitado</t>
        </is>
      </c>
      <c r="AC126">
        <f>AB126/AA126</f>
      </c>
      <c r="AD126">
        <f>AB126/2*12</f>
      </c>
    </row>
    <row r="127">
      <c r="A127" t="inlineStr">
        <is>
          <t>Fundação Sardinha</t>
        </is>
      </c>
      <c r="B127" t="inlineStr">
        <is>
          <t>Público</t>
        </is>
      </c>
      <c r="C127" t="inlineStr">
        <is>
          <t>Website</t>
        </is>
      </c>
      <c r="G127" t="inlineStr">
        <is>
          <t>X</t>
        </is>
      </c>
      <c r="J127">
        <f>COUNTA(D127:I127)</f>
      </c>
      <c r="K127" t="inlineStr">
        <is>
          <t>Projeto</t>
        </is>
      </c>
      <c r="L127" t="inlineStr">
        <is>
          <t>Orçamento</t>
        </is>
      </c>
      <c r="N127" t="inlineStr">
        <is>
          <t>2025-06-03</t>
        </is>
      </c>
      <c r="O127" t="inlineStr">
        <is>
          <t>Jun</t>
        </is>
      </c>
      <c r="P127" t="inlineStr">
        <is>
          <t>Q2</t>
        </is>
      </c>
      <c r="Q127">
        <v>2025</v>
      </c>
      <c r="V127">
        <f>SUM(R127:U127)</f>
      </c>
      <c r="X127" t="inlineStr">
        <is>
          <t>Rejeitado</t>
        </is>
      </c>
      <c r="AC127">
        <f>AB127/AA127</f>
      </c>
      <c r="AD127">
        <f>AB127/2*12</f>
      </c>
    </row>
    <row r="128">
      <c r="A128" t="inlineStr">
        <is>
          <t>APB</t>
        </is>
      </c>
      <c r="B128" t="inlineStr">
        <is>
          <t>Banca</t>
        </is>
      </c>
      <c r="C128" t="inlineStr">
        <is>
          <t>Campanha</t>
        </is>
      </c>
      <c r="D128" t="inlineStr">
        <is>
          <t>X</t>
        </is>
      </c>
      <c r="E128" t="inlineStr">
        <is>
          <t>X</t>
        </is>
      </c>
      <c r="J128">
        <f>COUNTA(D128:I128)</f>
      </c>
      <c r="K128" t="inlineStr">
        <is>
          <t>Projeto</t>
        </is>
      </c>
      <c r="L128" t="inlineStr">
        <is>
          <t>Criatividade</t>
        </is>
      </c>
      <c r="N128" t="inlineStr">
        <is>
          <t>2025-06-05</t>
        </is>
      </c>
      <c r="O128" t="inlineStr">
        <is>
          <t>Jun</t>
        </is>
      </c>
      <c r="P128" t="inlineStr">
        <is>
          <t>Q2</t>
        </is>
      </c>
      <c r="Q128">
        <v>2025</v>
      </c>
      <c r="R128">
        <v>1</v>
      </c>
      <c r="T128">
        <v>1</v>
      </c>
      <c r="V128">
        <f>SUM(R128:U128)</f>
      </c>
      <c r="W128" t="inlineStr">
        <is>
          <t>Falata de Tempo</t>
        </is>
      </c>
      <c r="X128" t="inlineStr">
        <is>
          <t>Rejeitado</t>
        </is>
      </c>
      <c r="AC128">
        <f>AB128/AA128</f>
      </c>
      <c r="AD128">
        <f>AB128/2*12</f>
      </c>
    </row>
    <row r="129">
      <c r="A129" t="inlineStr">
        <is>
          <t>Makro</t>
        </is>
      </c>
      <c r="B129" t="inlineStr">
        <is>
          <t>Retalho Direto</t>
        </is>
      </c>
      <c r="C129" t="inlineStr">
        <is>
          <t>Agência</t>
        </is>
      </c>
      <c r="I129" t="inlineStr">
        <is>
          <t>X</t>
        </is>
      </c>
      <c r="J129">
        <f>COUNTA(D129:I129)</f>
      </c>
      <c r="K129" t="inlineStr">
        <is>
          <t>Fee</t>
        </is>
      </c>
      <c r="L129" t="inlineStr">
        <is>
          <t>Criatividade</t>
        </is>
      </c>
      <c r="M129">
        <v>175860.00</v>
      </c>
      <c r="N129" t="inlineStr">
        <is>
          <t>2025-06-11</t>
        </is>
      </c>
      <c r="O129" t="inlineStr">
        <is>
          <t>Jun</t>
        </is>
      </c>
      <c r="P129" t="inlineStr">
        <is>
          <t>Q2</t>
        </is>
      </c>
      <c r="Q129">
        <v>2025</v>
      </c>
      <c r="R129">
        <v>1</v>
      </c>
      <c r="T129">
        <v>1</v>
      </c>
      <c r="V129">
        <f>SUM(R129:U129)</f>
      </c>
      <c r="X129" t="inlineStr">
        <is>
          <t>Ganho</t>
        </is>
      </c>
      <c r="Y129" t="inlineStr">
        <is>
          <t>2025-11-27</t>
        </is>
      </c>
      <c r="AA129">
        <v>14655.00</v>
      </c>
      <c r="AB129">
        <v>175860.00</v>
      </c>
      <c r="AC129">
        <f>AB129/AA129</f>
      </c>
      <c r="AD129">
        <f>AB129/2*12</f>
      </c>
      <c r="AE129">
        <v>1</v>
      </c>
    </row>
    <row r="130">
      <c r="A130" t="inlineStr">
        <is>
          <t>Farmácia Sofárida</t>
        </is>
      </c>
      <c r="B130" t="inlineStr">
        <is>
          <t>Saúde</t>
        </is>
      </c>
      <c r="C130" t="inlineStr">
        <is>
          <t>Branding</t>
        </is>
      </c>
      <c r="F130" t="inlineStr">
        <is>
          <t>X</t>
        </is>
      </c>
      <c r="H130" t="inlineStr">
        <is>
          <t>X</t>
        </is>
      </c>
      <c r="J130">
        <f>COUNTA(D130:I130)</f>
      </c>
      <c r="K130" t="inlineStr">
        <is>
          <t>Projeto</t>
        </is>
      </c>
      <c r="L130" t="inlineStr">
        <is>
          <t>Orçamento</t>
        </is>
      </c>
      <c r="N130" t="inlineStr">
        <is>
          <t>2025-06-12</t>
        </is>
      </c>
      <c r="O130" t="inlineStr">
        <is>
          <t>Jun</t>
        </is>
      </c>
      <c r="P130" t="inlineStr">
        <is>
          <t>Q2</t>
        </is>
      </c>
      <c r="Q130">
        <v>2025</v>
      </c>
      <c r="V130">
        <f>SUM(R130:U130)</f>
      </c>
      <c r="X130" t="inlineStr">
        <is>
          <t>Rejeitado</t>
        </is>
      </c>
      <c r="AC130">
        <f>AB130/AA130</f>
      </c>
      <c r="AD130">
        <f>AB130/2*12</f>
      </c>
    </row>
    <row r="131">
      <c r="A131" t="inlineStr">
        <is>
          <t>AB Biotics</t>
        </is>
      </c>
      <c r="B131" t="inlineStr">
        <is>
          <t>Retalho Direto</t>
        </is>
      </c>
      <c r="C131" t="inlineStr">
        <is>
          <t>Branding</t>
        </is>
      </c>
      <c r="E131" t="inlineStr">
        <is>
          <t>X</t>
        </is>
      </c>
      <c r="H131" t="inlineStr">
        <is>
          <t>X</t>
        </is>
      </c>
      <c r="J131">
        <f>COUNTA(D131:I131)</f>
      </c>
      <c r="K131" t="inlineStr">
        <is>
          <t>Projeto</t>
        </is>
      </c>
      <c r="L131" t="inlineStr">
        <is>
          <t>Orçamento</t>
        </is>
      </c>
      <c r="N131" t="inlineStr">
        <is>
          <t>2025-06-13</t>
        </is>
      </c>
      <c r="O131" t="inlineStr">
        <is>
          <t>Jun</t>
        </is>
      </c>
      <c r="P131" t="inlineStr">
        <is>
          <t>Q2</t>
        </is>
      </c>
      <c r="Q131">
        <v>2025</v>
      </c>
      <c r="T131">
        <v>1</v>
      </c>
      <c r="V131">
        <f>SUM(R131:U131)</f>
      </c>
      <c r="X131" t="inlineStr">
        <is>
          <t>Rejeitado</t>
        </is>
      </c>
      <c r="AC131">
        <f>AB131/AA131</f>
      </c>
      <c r="AD131">
        <f>AB131/2*12</f>
      </c>
    </row>
    <row r="132">
      <c r="A132" t="inlineStr">
        <is>
          <t>Caxamar</t>
        </is>
      </c>
      <c r="B132" t="inlineStr">
        <is>
          <t>Foods</t>
        </is>
      </c>
      <c r="C132" t="inlineStr">
        <is>
          <t>Filme TV</t>
        </is>
      </c>
      <c r="D132" t="inlineStr">
        <is>
          <t>X</t>
        </is>
      </c>
      <c r="J132">
        <f>COUNTA(D132:I132)</f>
      </c>
      <c r="K132" t="inlineStr">
        <is>
          <t>Projeto</t>
        </is>
      </c>
      <c r="L132" t="inlineStr">
        <is>
          <t>Orçamento</t>
        </is>
      </c>
      <c r="N132" t="inlineStr">
        <is>
          <t>2025-05-05</t>
        </is>
      </c>
      <c r="O132" t="inlineStr">
        <is>
          <t>Mai</t>
        </is>
      </c>
      <c r="P132" t="inlineStr">
        <is>
          <t>Q2</t>
        </is>
      </c>
      <c r="Q132">
        <v>2025</v>
      </c>
      <c r="V132">
        <f>SUM(R132:U132)</f>
      </c>
      <c r="X132" t="inlineStr">
        <is>
          <t>Rejeitado</t>
        </is>
      </c>
      <c r="AC132">
        <f>AB132/AA132</f>
      </c>
      <c r="AD132">
        <f>AB132/2*12</f>
      </c>
    </row>
    <row r="133">
      <c r="A133" t="inlineStr">
        <is>
          <t>Portfolio Store</t>
        </is>
      </c>
      <c r="B133" t="inlineStr">
        <is>
          <t>Retalho Direto</t>
        </is>
      </c>
      <c r="C133" t="inlineStr">
        <is>
          <t>Campanhas</t>
        </is>
      </c>
      <c r="D133" t="inlineStr">
        <is>
          <t>X</t>
        </is>
      </c>
      <c r="J133">
        <f>COUNTA(D133:I133)</f>
      </c>
      <c r="K133" t="inlineStr">
        <is>
          <t>Fee</t>
        </is>
      </c>
      <c r="L133" t="inlineStr">
        <is>
          <t>Orçamento</t>
        </is>
      </c>
      <c r="N133" t="inlineStr">
        <is>
          <t>2025-05-14</t>
        </is>
      </c>
      <c r="O133" t="inlineStr">
        <is>
          <t>Mai</t>
        </is>
      </c>
      <c r="P133" t="inlineStr">
        <is>
          <t>Q2</t>
        </is>
      </c>
      <c r="Q133">
        <v>2025</v>
      </c>
      <c r="V133">
        <f>SUM(R133:U133)</f>
      </c>
      <c r="X133" t="inlineStr">
        <is>
          <t>Rejeitado</t>
        </is>
      </c>
      <c r="AC133">
        <f>AB133/AA133</f>
      </c>
      <c r="AD133">
        <f>AB133/2*12</f>
      </c>
    </row>
    <row r="134">
      <c r="A134" t="inlineStr">
        <is>
          <t>Baketilly</t>
        </is>
      </c>
      <c r="B134" t="inlineStr">
        <is>
          <t>Consultoria</t>
        </is>
      </c>
      <c r="C134" t="inlineStr">
        <is>
          <t>Agência</t>
        </is>
      </c>
      <c r="J134">
        <f>COUNTA(D134:I134)</f>
      </c>
      <c r="K134" t="inlineStr">
        <is>
          <t>Fee</t>
        </is>
      </c>
      <c r="L134" t="inlineStr">
        <is>
          <t>Orçamento</t>
        </is>
      </c>
      <c r="N134" t="inlineStr">
        <is>
          <t>2025-05-07</t>
        </is>
      </c>
      <c r="O134" t="inlineStr">
        <is>
          <t>Mai</t>
        </is>
      </c>
      <c r="P134" t="inlineStr">
        <is>
          <t>Q2</t>
        </is>
      </c>
      <c r="Q134">
        <v>2025</v>
      </c>
      <c r="T134">
        <v>1</v>
      </c>
      <c r="V134">
        <f>SUM(R134:U134)</f>
      </c>
      <c r="X134" t="inlineStr">
        <is>
          <t>Rejeitado</t>
        </is>
      </c>
      <c r="AC134">
        <f>AB134/AA134</f>
      </c>
      <c r="AD134">
        <f>AB134/2*12</f>
      </c>
    </row>
    <row r="135">
      <c r="A135" t="inlineStr">
        <is>
          <t>ReuseGlass</t>
        </is>
      </c>
      <c r="B135" t="inlineStr">
        <is>
          <t>Logistica</t>
        </is>
      </c>
      <c r="C135" t="inlineStr">
        <is>
          <t>Agência</t>
        </is>
      </c>
      <c r="I135" t="inlineStr">
        <is>
          <t>X</t>
        </is>
      </c>
      <c r="J135">
        <f>COUNTA(D135:I135)</f>
      </c>
      <c r="K135" t="inlineStr">
        <is>
          <t>Fee</t>
        </is>
      </c>
      <c r="L135" t="inlineStr">
        <is>
          <t>Orçamento</t>
        </is>
      </c>
      <c r="N135" t="inlineStr">
        <is>
          <t>2025-05-09</t>
        </is>
      </c>
      <c r="O135" t="inlineStr">
        <is>
          <t>Mai</t>
        </is>
      </c>
      <c r="P135" t="inlineStr">
        <is>
          <t>Q2</t>
        </is>
      </c>
      <c r="Q135">
        <v>2025</v>
      </c>
      <c r="V135">
        <f>SUM(R135:U135)</f>
      </c>
      <c r="X135" t="inlineStr">
        <is>
          <t>Rejeitado</t>
        </is>
      </c>
      <c r="AC135">
        <f>AB135/AA135</f>
      </c>
      <c r="AD135">
        <f>AB135/2*12</f>
      </c>
    </row>
    <row r="136">
      <c r="A136" t="inlineStr">
        <is>
          <t>Interger</t>
        </is>
      </c>
      <c r="B136" t="inlineStr">
        <is>
          <t>Tecnologia</t>
        </is>
      </c>
      <c r="C136" t="inlineStr">
        <is>
          <t>RP &amp; Comm</t>
        </is>
      </c>
      <c r="J136">
        <f>COUNTA(D136:I136)</f>
      </c>
      <c r="K136" t="inlineStr">
        <is>
          <t>Fee</t>
        </is>
      </c>
      <c r="L136" t="inlineStr">
        <is>
          <t>Credenciais</t>
        </is>
      </c>
      <c r="N136" t="inlineStr">
        <is>
          <t>2025-05-26</t>
        </is>
      </c>
      <c r="O136" t="inlineStr">
        <is>
          <t>Mai</t>
        </is>
      </c>
      <c r="P136" t="inlineStr">
        <is>
          <t>Q2</t>
        </is>
      </c>
      <c r="Q136">
        <v>2025</v>
      </c>
      <c r="V136">
        <f>SUM(R136:U136)</f>
      </c>
      <c r="X136" t="inlineStr">
        <is>
          <t>Rejeitado</t>
        </is>
      </c>
      <c r="AC136">
        <f>AB136/AA136</f>
      </c>
      <c r="AD136">
        <f>AB136/2*12</f>
      </c>
    </row>
    <row r="137">
      <c r="A137" t="inlineStr">
        <is>
          <t>Associação Promoção Madeira</t>
        </is>
      </c>
      <c r="B137" t="inlineStr">
        <is>
          <t>Turismo</t>
        </is>
      </c>
      <c r="C137" t="inlineStr">
        <is>
          <t>Campanha SM</t>
        </is>
      </c>
      <c r="D137" t="inlineStr">
        <is>
          <t>X</t>
        </is>
      </c>
      <c r="F137" t="inlineStr">
        <is>
          <t>X</t>
        </is>
      </c>
      <c r="J137">
        <f>COUNTA(D137:I137)</f>
      </c>
      <c r="K137" t="inlineStr">
        <is>
          <t>Projeto</t>
        </is>
      </c>
      <c r="L137" t="inlineStr">
        <is>
          <t>Orçamento</t>
        </is>
      </c>
      <c r="N137" t="inlineStr">
        <is>
          <t>2025-05-26</t>
        </is>
      </c>
      <c r="O137" t="inlineStr">
        <is>
          <t>Mai</t>
        </is>
      </c>
      <c r="P137" t="inlineStr">
        <is>
          <t>Q2</t>
        </is>
      </c>
      <c r="Q137">
        <v>2025</v>
      </c>
      <c r="R137">
        <v>1</v>
      </c>
      <c r="V137">
        <f>SUM(R137:U137)</f>
      </c>
      <c r="X137" t="inlineStr">
        <is>
          <t>Rejeitado</t>
        </is>
      </c>
      <c r="AC137">
        <f>AB137/AA137</f>
      </c>
      <c r="AD137">
        <f>AB137/2*12</f>
      </c>
    </row>
    <row r="138">
      <c r="A138" t="inlineStr">
        <is>
          <t>Brisa</t>
        </is>
      </c>
      <c r="B138" t="inlineStr">
        <is>
          <t>Prod Filmes</t>
        </is>
      </c>
      <c r="C138" t="inlineStr">
        <is>
          <t>Cmms Interna</t>
        </is>
      </c>
      <c r="D138" t="inlineStr">
        <is>
          <t>X</t>
        </is>
      </c>
      <c r="J138">
        <f>COUNTA(D138:I138)</f>
      </c>
      <c r="K138" t="inlineStr">
        <is>
          <t>Projeto</t>
        </is>
      </c>
      <c r="L138" t="inlineStr">
        <is>
          <t>Criatividade</t>
        </is>
      </c>
      <c r="N138" t="inlineStr">
        <is>
          <t>2025-05-26</t>
        </is>
      </c>
      <c r="O138" t="inlineStr">
        <is>
          <t>Mai</t>
        </is>
      </c>
      <c r="P138" t="inlineStr">
        <is>
          <t>Q2</t>
        </is>
      </c>
      <c r="Q138">
        <v>2025</v>
      </c>
      <c r="R138">
        <v>1</v>
      </c>
      <c r="V138">
        <f>SUM(R138:U138)</f>
      </c>
      <c r="X138" t="inlineStr">
        <is>
          <t>Rejeitado</t>
        </is>
      </c>
      <c r="AC138">
        <f>AB138/AA138</f>
      </c>
      <c r="AD138">
        <f>AB138/2*12</f>
      </c>
    </row>
    <row r="139">
      <c r="A139" t="inlineStr">
        <is>
          <t>Crédito Agricola</t>
        </is>
      </c>
      <c r="B139" t="inlineStr">
        <is>
          <t>Banca</t>
        </is>
      </c>
      <c r="C139" t="inlineStr">
        <is>
          <t>Agência</t>
        </is>
      </c>
      <c r="I139" t="inlineStr">
        <is>
          <t>X</t>
        </is>
      </c>
      <c r="J139">
        <f>COUNTA(D139:I139)</f>
      </c>
      <c r="K139" t="inlineStr">
        <is>
          <t>Fee</t>
        </is>
      </c>
      <c r="L139" t="inlineStr">
        <is>
          <t>Orçamento</t>
        </is>
      </c>
      <c r="N139" t="inlineStr">
        <is>
          <t>2025-05-22</t>
        </is>
      </c>
      <c r="O139" t="inlineStr">
        <is>
          <t>Mai</t>
        </is>
      </c>
      <c r="P139" t="inlineStr">
        <is>
          <t>Q2</t>
        </is>
      </c>
      <c r="Q139">
        <v>2025</v>
      </c>
      <c r="V139">
        <f>SUM(R139:U139)</f>
      </c>
      <c r="W139" t="inlineStr">
        <is>
          <t>Conflito Interesses</t>
        </is>
      </c>
      <c r="X139" t="inlineStr">
        <is>
          <t>Rejeitado</t>
        </is>
      </c>
      <c r="AC139">
        <f>AB139/AA139</f>
      </c>
      <c r="AD139">
        <f>AB139/2*12</f>
      </c>
    </row>
    <row r="140">
      <c r="A140" t="inlineStr">
        <is>
          <t>S317</t>
        </is>
      </c>
      <c r="B140" t="inlineStr">
        <is>
          <t>Consultoria</t>
        </is>
      </c>
      <c r="C140" t="inlineStr">
        <is>
          <t>Rebranding</t>
        </is>
      </c>
      <c r="E140" t="inlineStr">
        <is>
          <t>X</t>
        </is>
      </c>
      <c r="H140" t="inlineStr">
        <is>
          <t>X</t>
        </is>
      </c>
      <c r="J140">
        <f>COUNTA(D140:I140)</f>
      </c>
      <c r="K140" t="inlineStr">
        <is>
          <t>Projeto</t>
        </is>
      </c>
      <c r="L140" t="inlineStr">
        <is>
          <t>Orçamento</t>
        </is>
      </c>
      <c r="N140" t="inlineStr">
        <is>
          <t>2025-05-15</t>
        </is>
      </c>
      <c r="O140" t="inlineStr">
        <is>
          <t>Mai</t>
        </is>
      </c>
      <c r="P140" t="inlineStr">
        <is>
          <t>Q2</t>
        </is>
      </c>
      <c r="Q140">
        <v>2025</v>
      </c>
      <c r="T140">
        <v>1</v>
      </c>
      <c r="V140">
        <f>SUM(R140:U140)</f>
      </c>
      <c r="X140" t="inlineStr">
        <is>
          <t>Rejeitado</t>
        </is>
      </c>
      <c r="AC140">
        <f>AB140/AA140</f>
      </c>
      <c r="AD140">
        <f>AB140/2*12</f>
      </c>
    </row>
    <row r="141">
      <c r="A141" t="inlineStr">
        <is>
          <t>CP</t>
        </is>
      </c>
      <c r="B141" t="inlineStr">
        <is>
          <t>Transportes</t>
        </is>
      </c>
      <c r="C141" t="inlineStr">
        <is>
          <t>Agência</t>
        </is>
      </c>
      <c r="I141" t="inlineStr">
        <is>
          <t>X</t>
        </is>
      </c>
      <c r="J141">
        <f>COUNTA(D141:I141)</f>
      </c>
      <c r="K141" t="inlineStr">
        <is>
          <t>Fee</t>
        </is>
      </c>
      <c r="L141" t="inlineStr">
        <is>
          <t>Orçamento</t>
        </is>
      </c>
      <c r="M141">
        <v>233426.00</v>
      </c>
      <c r="N141" t="inlineStr">
        <is>
          <t>2025-05-28</t>
        </is>
      </c>
      <c r="O141" t="inlineStr">
        <is>
          <t>Mai</t>
        </is>
      </c>
      <c r="P141" t="inlineStr">
        <is>
          <t>Q2</t>
        </is>
      </c>
      <c r="Q141">
        <v>2025</v>
      </c>
      <c r="R141">
        <v>1</v>
      </c>
      <c r="T141">
        <v>1</v>
      </c>
      <c r="V141">
        <f>SUM(R141:U141)</f>
      </c>
      <c r="X141" t="inlineStr">
        <is>
          <t>Perdido</t>
        </is>
      </c>
      <c r="Y141" t="inlineStr">
        <is>
          <t>2025-06-22</t>
        </is>
      </c>
      <c r="Z141" t="inlineStr">
        <is>
          <t>Publicis -9K€</t>
        </is>
      </c>
      <c r="AC141">
        <f>AB141/AA141</f>
      </c>
      <c r="AD141">
        <f>AB141/2*12</f>
      </c>
    </row>
    <row r="142">
      <c r="A142" t="inlineStr">
        <is>
          <t>Grupo ACA</t>
        </is>
      </c>
      <c r="B142" t="inlineStr">
        <is>
          <t>Consultoria</t>
        </is>
      </c>
      <c r="C142" t="inlineStr">
        <is>
          <t>Design de Peças</t>
        </is>
      </c>
      <c r="H142" t="inlineStr">
        <is>
          <t>X</t>
        </is>
      </c>
      <c r="J142">
        <f>COUNTA(D142:I142)</f>
      </c>
      <c r="K142" t="inlineStr">
        <is>
          <t>Projeto</t>
        </is>
      </c>
      <c r="L142" t="inlineStr">
        <is>
          <t>Orçamento</t>
        </is>
      </c>
      <c r="N142" t="inlineStr">
        <is>
          <t>2025-08-06</t>
        </is>
      </c>
      <c r="O142" t="inlineStr">
        <is>
          <t>Ago</t>
        </is>
      </c>
      <c r="P142" t="inlineStr">
        <is>
          <t>Q3</t>
        </is>
      </c>
      <c r="Q142">
        <v>2025</v>
      </c>
      <c r="V142">
        <f>SUM(R142:U142)</f>
      </c>
      <c r="X142" t="inlineStr">
        <is>
          <t>Rejeitado</t>
        </is>
      </c>
      <c r="AC142">
        <f>AB142/AA142</f>
      </c>
      <c r="AD142">
        <f>AB142/2*12</f>
      </c>
    </row>
    <row r="143">
      <c r="A143" t="inlineStr">
        <is>
          <t>Angelini Pharma</t>
        </is>
      </c>
      <c r="B143" t="inlineStr">
        <is>
          <t>Farmaceutica</t>
        </is>
      </c>
      <c r="C143" t="inlineStr">
        <is>
          <t>Design de Peças</t>
        </is>
      </c>
      <c r="H143" t="inlineStr">
        <is>
          <t>X</t>
        </is>
      </c>
      <c r="J143">
        <f>COUNTA(D143:I143)</f>
      </c>
      <c r="K143" t="inlineStr">
        <is>
          <t>Projeto</t>
        </is>
      </c>
      <c r="L143" t="inlineStr">
        <is>
          <t>Orçamento</t>
        </is>
      </c>
      <c r="N143" t="inlineStr">
        <is>
          <t>2025-08-06</t>
        </is>
      </c>
      <c r="O143" t="inlineStr">
        <is>
          <t>Ago</t>
        </is>
      </c>
      <c r="P143" t="inlineStr">
        <is>
          <t>Q3</t>
        </is>
      </c>
      <c r="Q143">
        <v>2025</v>
      </c>
      <c r="R143">
        <v>1</v>
      </c>
      <c r="V143">
        <f>SUM(R143:U143)</f>
      </c>
      <c r="X143" t="inlineStr">
        <is>
          <t>Rejeitado</t>
        </is>
      </c>
      <c r="AC143">
        <f>AB143/AA143</f>
      </c>
      <c r="AD143">
        <f>AB143/2*12</f>
      </c>
    </row>
    <row r="144">
      <c r="A144" t="inlineStr">
        <is>
          <t>Arrow Global</t>
        </is>
      </c>
      <c r="B144" t="inlineStr">
        <is>
          <t>Imobiliário</t>
        </is>
      </c>
      <c r="C144" t="inlineStr">
        <is>
          <t>Website</t>
        </is>
      </c>
      <c r="G144" t="inlineStr">
        <is>
          <t>X</t>
        </is>
      </c>
      <c r="J144">
        <f>COUNTA(D144:I144)</f>
      </c>
      <c r="K144" t="inlineStr">
        <is>
          <t>Projeto</t>
        </is>
      </c>
      <c r="L144" t="inlineStr">
        <is>
          <t>Orçamento</t>
        </is>
      </c>
      <c r="N144" t="inlineStr">
        <is>
          <t>2025-08-18</t>
        </is>
      </c>
      <c r="O144" t="inlineStr">
        <is>
          <t>Ago</t>
        </is>
      </c>
      <c r="P144" t="inlineStr">
        <is>
          <t>Q3</t>
        </is>
      </c>
      <c r="Q144">
        <v>2025</v>
      </c>
      <c r="R144">
        <v>1</v>
      </c>
      <c r="V144">
        <f>SUM(R144:U144)</f>
      </c>
      <c r="X144" t="inlineStr">
        <is>
          <t>Rejeitado</t>
        </is>
      </c>
      <c r="AC144">
        <f>AB144/AA144</f>
      </c>
      <c r="AD144">
        <f>AB144/2*12</f>
      </c>
    </row>
    <row r="145">
      <c r="A145" t="inlineStr">
        <is>
          <t>Media Markt</t>
        </is>
      </c>
      <c r="B145" t="inlineStr">
        <is>
          <t>Retalho Direto</t>
        </is>
      </c>
      <c r="C145" t="inlineStr">
        <is>
          <t>Social Media</t>
        </is>
      </c>
      <c r="F145" t="inlineStr">
        <is>
          <t>X</t>
        </is>
      </c>
      <c r="J145">
        <f>COUNTA(D145:I145)</f>
      </c>
      <c r="K145" t="inlineStr">
        <is>
          <t>Fee</t>
        </is>
      </c>
      <c r="L145" t="inlineStr">
        <is>
          <t>Criatividade</t>
        </is>
      </c>
      <c r="N145" t="inlineStr">
        <is>
          <t>2025-07-01</t>
        </is>
      </c>
      <c r="O145" t="inlineStr">
        <is>
          <t>Jul</t>
        </is>
      </c>
      <c r="P145" t="inlineStr">
        <is>
          <t>Q3</t>
        </is>
      </c>
      <c r="Q145">
        <v>2025</v>
      </c>
      <c r="R145">
        <v>1</v>
      </c>
      <c r="V145">
        <f>SUM(R145:U145)</f>
      </c>
      <c r="X145" t="inlineStr">
        <is>
          <t>Rejeitado</t>
        </is>
      </c>
      <c r="AC145">
        <f>AB145/AA145</f>
      </c>
      <c r="AD145">
        <f>AB145/2*12</f>
      </c>
    </row>
    <row r="146">
      <c r="A146" t="inlineStr">
        <is>
          <t>Monte da Penha</t>
        </is>
      </c>
      <c r="B146" t="inlineStr">
        <is>
          <t>Vinhos</t>
        </is>
      </c>
      <c r="C146" t="inlineStr">
        <is>
          <t>Social Media</t>
        </is>
      </c>
      <c r="F146" t="inlineStr">
        <is>
          <t>X</t>
        </is>
      </c>
      <c r="J146">
        <f>COUNTA(D146:I146)</f>
      </c>
      <c r="K146" t="inlineStr">
        <is>
          <t>Fee</t>
        </is>
      </c>
      <c r="L146" t="inlineStr">
        <is>
          <t>Orçamento</t>
        </is>
      </c>
      <c r="N146" t="inlineStr">
        <is>
          <t>2025-07-01</t>
        </is>
      </c>
      <c r="O146" t="inlineStr">
        <is>
          <t>Jul</t>
        </is>
      </c>
      <c r="P146" t="inlineStr">
        <is>
          <t>Q3</t>
        </is>
      </c>
      <c r="Q146">
        <v>2025</v>
      </c>
      <c r="V146">
        <f>SUM(R146:U146)</f>
      </c>
      <c r="X146" t="inlineStr">
        <is>
          <t>Rejeitado</t>
        </is>
      </c>
      <c r="AC146">
        <f>AB146/AA146</f>
      </c>
      <c r="AD146">
        <f>AB146/2*12</f>
      </c>
    </row>
    <row r="147">
      <c r="A147" t="inlineStr">
        <is>
          <t>Movijovem</t>
        </is>
      </c>
      <c r="B147" t="inlineStr">
        <is>
          <t>Público</t>
        </is>
      </c>
      <c r="C147" t="inlineStr">
        <is>
          <t>Ilustração</t>
        </is>
      </c>
      <c r="H147" t="inlineStr">
        <is>
          <t>X</t>
        </is>
      </c>
      <c r="J147">
        <f>COUNTA(D147:I147)</f>
      </c>
      <c r="K147" t="inlineStr">
        <is>
          <t>Projeto</t>
        </is>
      </c>
      <c r="L147" t="inlineStr">
        <is>
          <t>Orçamento</t>
        </is>
      </c>
      <c r="N147" t="inlineStr">
        <is>
          <t>2025-07-02</t>
        </is>
      </c>
      <c r="O147" t="inlineStr">
        <is>
          <t>Jul</t>
        </is>
      </c>
      <c r="P147" t="inlineStr">
        <is>
          <t>Q3</t>
        </is>
      </c>
      <c r="Q147">
        <v>2025</v>
      </c>
      <c r="V147">
        <f>SUM(R147:U147)</f>
      </c>
      <c r="X147" t="inlineStr">
        <is>
          <t>Rejeitado</t>
        </is>
      </c>
      <c r="AC147">
        <f>AB147/AA147</f>
      </c>
      <c r="AD147">
        <f>AB147/2*12</f>
      </c>
    </row>
    <row r="148">
      <c r="A148" t="inlineStr">
        <is>
          <t>Natixis in Portugal</t>
        </is>
      </c>
      <c r="B148" t="inlineStr">
        <is>
          <t>Banca</t>
        </is>
      </c>
      <c r="C148" t="inlineStr">
        <is>
          <t>Website</t>
        </is>
      </c>
      <c r="G148" t="inlineStr">
        <is>
          <t>X</t>
        </is>
      </c>
      <c r="J148">
        <f>COUNTA(D148:I148)</f>
      </c>
      <c r="K148" t="inlineStr">
        <is>
          <t>Projeto</t>
        </is>
      </c>
      <c r="L148" t="inlineStr">
        <is>
          <t>Criatividade</t>
        </is>
      </c>
      <c r="N148" t="inlineStr">
        <is>
          <t>2025-07-04</t>
        </is>
      </c>
      <c r="O148" t="inlineStr">
        <is>
          <t>Jul</t>
        </is>
      </c>
      <c r="P148" t="inlineStr">
        <is>
          <t>Q3</t>
        </is>
      </c>
      <c r="Q148">
        <v>2025</v>
      </c>
      <c r="T148">
        <v>1</v>
      </c>
      <c r="V148">
        <f>SUM(R148:U148)</f>
      </c>
      <c r="X148" t="inlineStr">
        <is>
          <t>Rejeitado</t>
        </is>
      </c>
      <c r="AC148">
        <f>AB148/AA148</f>
      </c>
      <c r="AD148">
        <f>AB148/2*12</f>
      </c>
    </row>
    <row r="149">
      <c r="A149" t="inlineStr">
        <is>
          <t>Alma54</t>
        </is>
      </c>
      <c r="B149" t="inlineStr">
        <is>
          <t>Retalho Direto</t>
        </is>
      </c>
      <c r="C149" t="inlineStr">
        <is>
          <t>Branding</t>
        </is>
      </c>
      <c r="H149" t="inlineStr">
        <is>
          <t>X</t>
        </is>
      </c>
      <c r="J149">
        <f>COUNTA(D149:I149)</f>
      </c>
      <c r="K149" t="inlineStr">
        <is>
          <t>Projeto</t>
        </is>
      </c>
      <c r="L149" t="inlineStr">
        <is>
          <t>Orçamento</t>
        </is>
      </c>
      <c r="N149" t="inlineStr">
        <is>
          <t>2025-07-07</t>
        </is>
      </c>
      <c r="O149" t="inlineStr">
        <is>
          <t>Jul</t>
        </is>
      </c>
      <c r="P149" t="inlineStr">
        <is>
          <t>Q3</t>
        </is>
      </c>
      <c r="Q149">
        <v>2025</v>
      </c>
      <c r="V149">
        <f>SUM(R149:U149)</f>
      </c>
      <c r="X149" t="inlineStr">
        <is>
          <t>Rejeitado</t>
        </is>
      </c>
      <c r="AC149">
        <f>AB149/AA149</f>
      </c>
      <c r="AD149">
        <f>AB149/2*12</f>
      </c>
    </row>
    <row r="150">
      <c r="A150" t="inlineStr">
        <is>
          <t>CJR Renewables</t>
        </is>
      </c>
      <c r="B150" t="inlineStr">
        <is>
          <t>Energia</t>
        </is>
      </c>
      <c r="C150" t="inlineStr">
        <is>
          <t>Comms</t>
        </is>
      </c>
      <c r="E150" t="inlineStr">
        <is>
          <t>X</t>
        </is>
      </c>
      <c r="H150" t="inlineStr">
        <is>
          <t>X</t>
        </is>
      </c>
      <c r="J150">
        <f>COUNTA(D150:I150)</f>
      </c>
      <c r="K150" t="inlineStr">
        <is>
          <t>Projeto</t>
        </is>
      </c>
      <c r="L150" t="inlineStr">
        <is>
          <t>Orçamento</t>
        </is>
      </c>
      <c r="N150" t="inlineStr">
        <is>
          <t>2025-07-07</t>
        </is>
      </c>
      <c r="O150" t="inlineStr">
        <is>
          <t>Jul</t>
        </is>
      </c>
      <c r="P150" t="inlineStr">
        <is>
          <t>Q3</t>
        </is>
      </c>
      <c r="Q150">
        <v>2025</v>
      </c>
      <c r="T150">
        <v>1</v>
      </c>
      <c r="V150">
        <f>SUM(R150:U150)</f>
      </c>
      <c r="X150" t="inlineStr">
        <is>
          <t>Rejeitado</t>
        </is>
      </c>
      <c r="AC150">
        <f>AB150/AA150</f>
      </c>
      <c r="AD150">
        <f>AB150/2*12</f>
      </c>
    </row>
    <row r="151">
      <c r="A151" t="inlineStr">
        <is>
          <t>EMAC</t>
        </is>
      </c>
      <c r="B151" t="inlineStr">
        <is>
          <t>Público</t>
        </is>
      </c>
      <c r="C151" t="inlineStr">
        <is>
          <t>Ativação</t>
        </is>
      </c>
      <c r="J151">
        <f>COUNTA(D151:I151)</f>
      </c>
      <c r="K151" t="inlineStr">
        <is>
          <t>Projeto</t>
        </is>
      </c>
      <c r="L151" t="inlineStr">
        <is>
          <t>Orçamento</t>
        </is>
      </c>
      <c r="N151" t="inlineStr">
        <is>
          <t>2025-07-08</t>
        </is>
      </c>
      <c r="O151" t="inlineStr">
        <is>
          <t>Jul</t>
        </is>
      </c>
      <c r="P151" t="inlineStr">
        <is>
          <t>Q3</t>
        </is>
      </c>
      <c r="Q151">
        <v>2025</v>
      </c>
      <c r="V151">
        <f>SUM(R151:U151)</f>
      </c>
      <c r="X151" t="inlineStr">
        <is>
          <t>Rejeitado</t>
        </is>
      </c>
      <c r="AC151">
        <f>AB151/AA151</f>
      </c>
      <c r="AD151">
        <f>AB151/2*12</f>
      </c>
    </row>
    <row r="152">
      <c r="A152" t="inlineStr">
        <is>
          <t>Carris</t>
        </is>
      </c>
      <c r="B152" t="inlineStr">
        <is>
          <t>Transportes</t>
        </is>
      </c>
      <c r="C152" t="inlineStr">
        <is>
          <t>360</t>
        </is>
      </c>
      <c r="I152" t="inlineStr">
        <is>
          <t>X</t>
        </is>
      </c>
      <c r="J152">
        <f>COUNTA(D152:I152)</f>
      </c>
      <c r="K152" t="inlineStr">
        <is>
          <t>Projeto</t>
        </is>
      </c>
      <c r="L152" t="inlineStr">
        <is>
          <t>Criatividade</t>
        </is>
      </c>
      <c r="M152">
        <v>15500.00</v>
      </c>
      <c r="N152" t="inlineStr">
        <is>
          <t>2025-07-10</t>
        </is>
      </c>
      <c r="O152" t="inlineStr">
        <is>
          <t>Jul</t>
        </is>
      </c>
      <c r="P152" t="inlineStr">
        <is>
          <t>Q3</t>
        </is>
      </c>
      <c r="Q152">
        <v>2025</v>
      </c>
      <c r="R152">
        <v>1</v>
      </c>
      <c r="S152">
        <v>1</v>
      </c>
      <c r="V152">
        <f>SUM(R152:U152)</f>
      </c>
      <c r="X152" t="inlineStr">
        <is>
          <t>Ganho</t>
        </is>
      </c>
      <c r="Y152" t="inlineStr">
        <is>
          <t>2025-08-04</t>
        </is>
      </c>
      <c r="AA152">
        <v>15500.00</v>
      </c>
      <c r="AB152">
        <v>15500.00</v>
      </c>
      <c r="AC152">
        <f>AB152/AA152</f>
      </c>
      <c r="AD152">
        <f>AB152/2*12</f>
      </c>
      <c r="AE152">
        <v>2</v>
      </c>
    </row>
    <row r="153">
      <c r="A153" t="inlineStr">
        <is>
          <t>Pagani Capital</t>
        </is>
      </c>
      <c r="B153" t="inlineStr">
        <is>
          <t>Imobiliário</t>
        </is>
      </c>
      <c r="C153" t="inlineStr">
        <is>
          <t>Branding + Web</t>
        </is>
      </c>
      <c r="E153" t="inlineStr">
        <is>
          <t>X</t>
        </is>
      </c>
      <c r="G153" t="inlineStr">
        <is>
          <t>X</t>
        </is>
      </c>
      <c r="H153" t="inlineStr">
        <is>
          <t>X</t>
        </is>
      </c>
      <c r="J153">
        <f>COUNTA(D153:I153)</f>
      </c>
      <c r="K153" t="inlineStr">
        <is>
          <t>Projeto</t>
        </is>
      </c>
      <c r="L153" t="inlineStr">
        <is>
          <t>Estratégia</t>
        </is>
      </c>
      <c r="M153">
        <v>20400.00</v>
      </c>
      <c r="N153" t="inlineStr">
        <is>
          <t>2025-07-10</t>
        </is>
      </c>
      <c r="O153" t="inlineStr">
        <is>
          <t>Jul</t>
        </is>
      </c>
      <c r="P153" t="inlineStr">
        <is>
          <t>Q3</t>
        </is>
      </c>
      <c r="Q153">
        <v>2025</v>
      </c>
      <c r="T153">
        <v>1</v>
      </c>
      <c r="V153">
        <f>SUM(R153:U153)</f>
      </c>
      <c r="X153" t="inlineStr">
        <is>
          <t>Ganho</t>
        </is>
      </c>
      <c r="Y153" t="inlineStr">
        <is>
          <t>2025-08-18</t>
        </is>
      </c>
      <c r="AA153">
        <v>18050.00</v>
      </c>
      <c r="AB153">
        <v>18050.00</v>
      </c>
      <c r="AC153">
        <f>AB153/AA153</f>
      </c>
      <c r="AD153">
        <f>AB153/2*12</f>
      </c>
      <c r="AE153">
        <v>2</v>
      </c>
    </row>
    <row r="154">
      <c r="A154" t="inlineStr">
        <is>
          <t>AD</t>
        </is>
      </c>
      <c r="B154" t="inlineStr">
        <is>
          <t>Politica</t>
        </is>
      </c>
      <c r="C154" t="inlineStr">
        <is>
          <t>Campanha</t>
        </is>
      </c>
      <c r="D154" t="inlineStr">
        <is>
          <t>X</t>
        </is>
      </c>
      <c r="J154">
        <f>COUNTA(D154:I154)</f>
      </c>
      <c r="K154" t="inlineStr">
        <is>
          <t>Projeto</t>
        </is>
      </c>
      <c r="L154" t="inlineStr">
        <is>
          <t>Orçamento</t>
        </is>
      </c>
      <c r="N154" t="inlineStr">
        <is>
          <t>2025-07-09</t>
        </is>
      </c>
      <c r="O154" t="inlineStr">
        <is>
          <t>Jul</t>
        </is>
      </c>
      <c r="P154" t="inlineStr">
        <is>
          <t>Q3</t>
        </is>
      </c>
      <c r="Q154">
        <v>2025</v>
      </c>
      <c r="V154">
        <f>SUM(R154:U154)</f>
      </c>
      <c r="X154" t="inlineStr">
        <is>
          <t>Rejeitado</t>
        </is>
      </c>
      <c r="AC154">
        <f>AB154/AA154</f>
      </c>
      <c r="AD154">
        <f>AB154/2*12</f>
      </c>
    </row>
    <row r="155">
      <c r="A155" t="inlineStr">
        <is>
          <t>Metropolitano de Lisboa</t>
        </is>
      </c>
      <c r="B155" t="inlineStr">
        <is>
          <t>Transportes</t>
        </is>
      </c>
      <c r="C155" t="inlineStr">
        <is>
          <t>Campanha</t>
        </is>
      </c>
      <c r="D155" t="inlineStr">
        <is>
          <t>X</t>
        </is>
      </c>
      <c r="F155" t="inlineStr">
        <is>
          <t>X</t>
        </is>
      </c>
      <c r="G155" t="inlineStr">
        <is>
          <t>X</t>
        </is>
      </c>
      <c r="J155">
        <f>COUNTA(D155:I155)</f>
      </c>
      <c r="K155" t="inlineStr">
        <is>
          <t>Projeto</t>
        </is>
      </c>
      <c r="L155" t="inlineStr">
        <is>
          <t>Criatividade</t>
        </is>
      </c>
      <c r="N155" t="inlineStr">
        <is>
          <t>2025-07-16</t>
        </is>
      </c>
      <c r="O155" t="inlineStr">
        <is>
          <t>Jul</t>
        </is>
      </c>
      <c r="P155" t="inlineStr">
        <is>
          <t>Q3</t>
        </is>
      </c>
      <c r="Q155">
        <v>2025</v>
      </c>
      <c r="R155">
        <v>1</v>
      </c>
      <c r="V155">
        <f>SUM(R155:U155)</f>
      </c>
      <c r="X155" t="inlineStr">
        <is>
          <t>Rejeitado</t>
        </is>
      </c>
      <c r="AC155">
        <f>AB155/AA155</f>
      </c>
      <c r="AD155">
        <f>AB155/2*12</f>
      </c>
    </row>
    <row r="156">
      <c r="A156" t="inlineStr">
        <is>
          <t>Fundação Gulbenkian</t>
        </is>
      </c>
      <c r="B156" t="inlineStr">
        <is>
          <t>Cultura</t>
        </is>
      </c>
      <c r="C156" t="inlineStr">
        <is>
          <t>Filme</t>
        </is>
      </c>
      <c r="D156" t="inlineStr">
        <is>
          <t>X</t>
        </is>
      </c>
      <c r="J156">
        <f>COUNTA(D156:I156)</f>
      </c>
      <c r="K156" t="inlineStr">
        <is>
          <t>Projeto</t>
        </is>
      </c>
      <c r="L156" t="inlineStr">
        <is>
          <t>Orçamento</t>
        </is>
      </c>
      <c r="N156" t="inlineStr">
        <is>
          <t>2025-09-07</t>
        </is>
      </c>
      <c r="O156" t="inlineStr">
        <is>
          <t>Set</t>
        </is>
      </c>
      <c r="P156" t="inlineStr">
        <is>
          <t>Q3</t>
        </is>
      </c>
      <c r="Q156">
        <v>2025</v>
      </c>
      <c r="R156">
        <v>1</v>
      </c>
      <c r="V156">
        <f>SUM(R156:U156)</f>
      </c>
      <c r="X156" t="inlineStr">
        <is>
          <t>Rejeitado</t>
        </is>
      </c>
      <c r="AC156">
        <f>AB156/AA156</f>
      </c>
      <c r="AD156">
        <f>AB156/2*12</f>
      </c>
    </row>
    <row r="157">
      <c r="A157" t="inlineStr">
        <is>
          <t>Savills</t>
        </is>
      </c>
      <c r="B157" t="inlineStr">
        <is>
          <t>Imobiliário</t>
        </is>
      </c>
      <c r="C157" t="inlineStr">
        <is>
          <t>Campanha</t>
        </is>
      </c>
      <c r="D157" t="inlineStr">
        <is>
          <t>X</t>
        </is>
      </c>
      <c r="J157">
        <f>COUNTA(D157:I157)</f>
      </c>
      <c r="K157" t="inlineStr">
        <is>
          <t>Projeto</t>
        </is>
      </c>
      <c r="L157" t="inlineStr">
        <is>
          <t>Criatividade</t>
        </is>
      </c>
      <c r="N157" t="inlineStr">
        <is>
          <t>2025-09-10</t>
        </is>
      </c>
      <c r="O157" t="inlineStr">
        <is>
          <t>Set</t>
        </is>
      </c>
      <c r="P157" t="inlineStr">
        <is>
          <t>Q3</t>
        </is>
      </c>
      <c r="Q157">
        <v>2025</v>
      </c>
      <c r="R157">
        <v>1</v>
      </c>
      <c r="V157">
        <f>SUM(R157:U157)</f>
      </c>
      <c r="W157" t="inlineStr">
        <is>
          <t>Adaptação de Int.</t>
        </is>
      </c>
      <c r="X157" t="inlineStr">
        <is>
          <t>Rejeitado</t>
        </is>
      </c>
      <c r="AC157">
        <f>AB157/AA157</f>
      </c>
      <c r="AD157">
        <f>AB157/2*12</f>
      </c>
    </row>
    <row r="158">
      <c r="A158" t="inlineStr">
        <is>
          <t>Mecanismo Nacional Anticorrupção</t>
        </is>
      </c>
      <c r="B158" t="inlineStr">
        <is>
          <t>Público</t>
        </is>
      </c>
      <c r="C158" t="inlineStr">
        <is>
          <t>Campanha</t>
        </is>
      </c>
      <c r="D158" t="inlineStr">
        <is>
          <t>X</t>
        </is>
      </c>
      <c r="J158">
        <f>COUNTA(D158:I158)</f>
      </c>
      <c r="K158" t="inlineStr">
        <is>
          <t>Projeto</t>
        </is>
      </c>
      <c r="L158" t="inlineStr">
        <is>
          <t>Orçamento</t>
        </is>
      </c>
      <c r="N158" t="inlineStr">
        <is>
          <t>2025-09-10</t>
        </is>
      </c>
      <c r="O158" t="inlineStr">
        <is>
          <t>Set</t>
        </is>
      </c>
      <c r="P158" t="inlineStr">
        <is>
          <t>Q3</t>
        </is>
      </c>
      <c r="Q158">
        <v>2025</v>
      </c>
      <c r="V158">
        <f>SUM(R158:U158)</f>
      </c>
      <c r="X158" t="inlineStr">
        <is>
          <t>Rejeitado</t>
        </is>
      </c>
      <c r="AC158">
        <f>AB158/AA158</f>
      </c>
      <c r="AD158">
        <f>AB158/2*12</f>
      </c>
    </row>
    <row r="159">
      <c r="A159" t="inlineStr">
        <is>
          <t>ANACOM</t>
        </is>
      </c>
      <c r="B159" t="inlineStr">
        <is>
          <t>Público</t>
        </is>
      </c>
      <c r="C159" t="inlineStr">
        <is>
          <t>Campanha</t>
        </is>
      </c>
      <c r="D159" t="inlineStr">
        <is>
          <t>X</t>
        </is>
      </c>
      <c r="J159">
        <f>COUNTA(D159:I159)</f>
      </c>
      <c r="K159" t="inlineStr">
        <is>
          <t>Projeto</t>
        </is>
      </c>
      <c r="L159" t="inlineStr">
        <is>
          <t>Orçamento</t>
        </is>
      </c>
      <c r="N159" t="inlineStr">
        <is>
          <t>2025-08-09</t>
        </is>
      </c>
      <c r="O159" t="inlineStr">
        <is>
          <t>Set</t>
        </is>
      </c>
      <c r="P159" t="inlineStr">
        <is>
          <t>Q3</t>
        </is>
      </c>
      <c r="Q159">
        <v>2025</v>
      </c>
      <c r="R159">
        <v>1</v>
      </c>
      <c r="V159">
        <f>SUM(R159:U159)</f>
      </c>
      <c r="X159" t="inlineStr">
        <is>
          <t>Rejeitado</t>
        </is>
      </c>
      <c r="AC159">
        <f>AB159/AA159</f>
      </c>
      <c r="AD159">
        <f>AB159/2*12</f>
      </c>
    </row>
    <row r="160">
      <c r="A160" t="inlineStr">
        <is>
          <t>Ministério da Educação e Ciência</t>
        </is>
      </c>
      <c r="B160" t="inlineStr">
        <is>
          <t>Público</t>
        </is>
      </c>
      <c r="C160" t="inlineStr">
        <is>
          <t>Branding</t>
        </is>
      </c>
      <c r="H160" t="inlineStr">
        <is>
          <t>X</t>
        </is>
      </c>
      <c r="J160">
        <f>COUNTA(D160:I160)</f>
      </c>
      <c r="K160" t="inlineStr">
        <is>
          <t>Projeto</t>
        </is>
      </c>
      <c r="L160" t="inlineStr">
        <is>
          <t>Orçamento</t>
        </is>
      </c>
      <c r="N160" t="inlineStr">
        <is>
          <t>2025-09-10</t>
        </is>
      </c>
      <c r="O160" t="inlineStr">
        <is>
          <t>Set</t>
        </is>
      </c>
      <c r="P160" t="inlineStr">
        <is>
          <t>Q3</t>
        </is>
      </c>
      <c r="Q160">
        <v>2025</v>
      </c>
      <c r="R160">
        <v>1</v>
      </c>
      <c r="V160">
        <f>SUM(R160:U160)</f>
      </c>
      <c r="X160" t="inlineStr">
        <is>
          <t>Rejeitado</t>
        </is>
      </c>
      <c r="AC160">
        <f>AB160/AA160</f>
      </c>
      <c r="AD160">
        <f>AB160/2*12</f>
      </c>
    </row>
    <row r="161">
      <c r="A161" t="inlineStr">
        <is>
          <t>ASUS</t>
        </is>
      </c>
      <c r="B161" t="inlineStr">
        <is>
          <t>Tecnologia</t>
        </is>
      </c>
      <c r="C161" t="inlineStr">
        <is>
          <t>Social Media</t>
        </is>
      </c>
      <c r="F161" t="inlineStr">
        <is>
          <t>X</t>
        </is>
      </c>
      <c r="J161">
        <f>COUNTA(D161:I161)</f>
      </c>
      <c r="K161" t="inlineStr">
        <is>
          <t>Fee</t>
        </is>
      </c>
      <c r="L161" t="inlineStr">
        <is>
          <t>Estratégia</t>
        </is>
      </c>
      <c r="N161" t="inlineStr">
        <is>
          <t>2025-09-17</t>
        </is>
      </c>
      <c r="O161" t="inlineStr">
        <is>
          <t>Set</t>
        </is>
      </c>
      <c r="P161" t="inlineStr">
        <is>
          <t>Q3</t>
        </is>
      </c>
      <c r="Q161">
        <v>2025</v>
      </c>
      <c r="R161">
        <v>1</v>
      </c>
      <c r="V161">
        <f>SUM(R161:U161)</f>
      </c>
      <c r="X161" t="inlineStr">
        <is>
          <t>Rejeitado</t>
        </is>
      </c>
      <c r="AC161">
        <f>AB161/AA161</f>
      </c>
      <c r="AD161">
        <f>AB161/2*12</f>
      </c>
    </row>
    <row r="162">
      <c r="A162" t="inlineStr">
        <is>
          <t>O Boticário</t>
        </is>
      </c>
      <c r="B162" t="inlineStr">
        <is>
          <t>Personal Care</t>
        </is>
      </c>
      <c r="C162" t="inlineStr">
        <is>
          <t>Campanha</t>
        </is>
      </c>
      <c r="D162" t="inlineStr">
        <is>
          <t>X</t>
        </is>
      </c>
      <c r="E162" t="inlineStr">
        <is>
          <t>X</t>
        </is>
      </c>
      <c r="J162">
        <f>COUNTA(D162:I162)</f>
      </c>
      <c r="K162" t="inlineStr">
        <is>
          <t>Projeto</t>
        </is>
      </c>
      <c r="L162" t="inlineStr">
        <is>
          <t>Credenciais</t>
        </is>
      </c>
      <c r="N162" t="inlineStr">
        <is>
          <t>2025-09-19</t>
        </is>
      </c>
      <c r="O162" t="inlineStr">
        <is>
          <t>Set</t>
        </is>
      </c>
      <c r="P162" t="inlineStr">
        <is>
          <t>Q3</t>
        </is>
      </c>
      <c r="Q162">
        <v>2025</v>
      </c>
      <c r="R162">
        <v>1</v>
      </c>
      <c r="S162">
        <v>1</v>
      </c>
      <c r="V162">
        <f>SUM(R162:U162)</f>
      </c>
      <c r="X162" t="inlineStr">
        <is>
          <t>Rejeitado</t>
        </is>
      </c>
      <c r="AC162">
        <f>AB162/AA162</f>
      </c>
      <c r="AD162">
        <f>AB162/2*12</f>
      </c>
    </row>
    <row r="163">
      <c r="A163" t="inlineStr">
        <is>
          <t>Metacase</t>
        </is>
      </c>
      <c r="B163" t="inlineStr">
        <is>
          <t>Tecnologia</t>
        </is>
      </c>
      <c r="C163" t="inlineStr">
        <is>
          <t>Branding + Web</t>
        </is>
      </c>
      <c r="E163" t="inlineStr">
        <is>
          <t>X</t>
        </is>
      </c>
      <c r="G163" t="inlineStr">
        <is>
          <t>X</t>
        </is>
      </c>
      <c r="H163" t="inlineStr">
        <is>
          <t>X</t>
        </is>
      </c>
      <c r="J163">
        <f>COUNTA(D163:I163)</f>
      </c>
      <c r="K163" t="inlineStr">
        <is>
          <t>Projeto</t>
        </is>
      </c>
      <c r="L163" t="inlineStr">
        <is>
          <t>Orçamento</t>
        </is>
      </c>
      <c r="N163" t="inlineStr">
        <is>
          <t>2025-09-18</t>
        </is>
      </c>
      <c r="O163" t="inlineStr">
        <is>
          <t>Set</t>
        </is>
      </c>
      <c r="P163" t="inlineStr">
        <is>
          <t>Q3</t>
        </is>
      </c>
      <c r="Q163">
        <v>2025</v>
      </c>
      <c r="T163">
        <v>1</v>
      </c>
      <c r="V163">
        <f>SUM(R163:U163)</f>
      </c>
      <c r="X163" t="inlineStr">
        <is>
          <t>Rejeitado</t>
        </is>
      </c>
      <c r="AC163">
        <f>AB163/AA163</f>
      </c>
      <c r="AD163">
        <f>AB163/2*12</f>
      </c>
    </row>
    <row r="164">
      <c r="A164" t="inlineStr">
        <is>
          <t>LIDL</t>
        </is>
      </c>
      <c r="B164" t="inlineStr">
        <is>
          <t>Retalho Direto</t>
        </is>
      </c>
      <c r="C164" t="inlineStr">
        <is>
          <t>Social Media</t>
        </is>
      </c>
      <c r="F164" t="inlineStr">
        <is>
          <t>X</t>
        </is>
      </c>
      <c r="J164">
        <f>COUNTA(D164:I164)</f>
      </c>
      <c r="K164" t="inlineStr">
        <is>
          <t>Fee</t>
        </is>
      </c>
      <c r="L164" t="inlineStr">
        <is>
          <t>Orçamento</t>
        </is>
      </c>
      <c r="N164" t="inlineStr">
        <is>
          <t>2025-09-25</t>
        </is>
      </c>
      <c r="O164" t="inlineStr">
        <is>
          <t>Set</t>
        </is>
      </c>
      <c r="P164" t="inlineStr">
        <is>
          <t>Q3</t>
        </is>
      </c>
      <c r="Q164">
        <v>2025</v>
      </c>
      <c r="R164">
        <v>1</v>
      </c>
      <c r="V164">
        <f>SUM(R164:U164)</f>
      </c>
      <c r="X164" t="inlineStr">
        <is>
          <t>Rejeitado</t>
        </is>
      </c>
      <c r="AC164">
        <f>AB164/AA164</f>
      </c>
      <c r="AD164">
        <f>AB164/2*12</f>
      </c>
    </row>
    <row r="165">
      <c r="A165" t="inlineStr">
        <is>
          <t>Arrow - Palmares</t>
        </is>
      </c>
      <c r="B165" t="inlineStr">
        <is>
          <t>Imobiliário</t>
        </is>
      </c>
      <c r="C165" t="inlineStr">
        <is>
          <t>Campanha</t>
        </is>
      </c>
      <c r="D165" t="inlineStr">
        <is>
          <t>X</t>
        </is>
      </c>
      <c r="E165" t="inlineStr">
        <is>
          <t>X</t>
        </is>
      </c>
      <c r="J165">
        <f>COUNTA(D165:I165)</f>
      </c>
      <c r="K165" t="inlineStr">
        <is>
          <t>Projeto</t>
        </is>
      </c>
      <c r="L165" t="inlineStr">
        <is>
          <t>Estratégia</t>
        </is>
      </c>
      <c r="N165" t="inlineStr">
        <is>
          <t>2025-09-26</t>
        </is>
      </c>
      <c r="O165" t="inlineStr">
        <is>
          <t>Set</t>
        </is>
      </c>
      <c r="P165" t="inlineStr">
        <is>
          <t>Q3</t>
        </is>
      </c>
      <c r="Q165">
        <v>2025</v>
      </c>
      <c r="T165">
        <v>1</v>
      </c>
      <c r="U165">
        <v>1</v>
      </c>
      <c r="V165">
        <f>SUM(R165:U165)</f>
      </c>
      <c r="X165" t="inlineStr">
        <is>
          <t>Rejeitado</t>
        </is>
      </c>
      <c r="AC165">
        <f>AB165/AA165</f>
      </c>
      <c r="AD165">
        <f>AB165/2*12</f>
      </c>
    </row>
    <row r="166">
      <c r="A166" t="inlineStr">
        <is>
          <t>Glint Global</t>
        </is>
      </c>
      <c r="B166" t="inlineStr">
        <is>
          <t>Consultoria</t>
        </is>
      </c>
      <c r="C166" t="inlineStr">
        <is>
          <t>Video Institucional</t>
        </is>
      </c>
      <c r="D166" t="inlineStr">
        <is>
          <t>X</t>
        </is>
      </c>
      <c r="J166">
        <f>COUNTA(D166:I166)</f>
      </c>
      <c r="K166" t="inlineStr">
        <is>
          <t>Projeto</t>
        </is>
      </c>
      <c r="L166" t="inlineStr">
        <is>
          <t>Orçamento</t>
        </is>
      </c>
      <c r="N166" t="inlineStr">
        <is>
          <t>2025-12-03</t>
        </is>
      </c>
      <c r="O166" t="inlineStr">
        <is>
          <t>Dez</t>
        </is>
      </c>
      <c r="P166" t="inlineStr">
        <is>
          <t>Q4</t>
        </is>
      </c>
      <c r="Q166">
        <v>2025</v>
      </c>
      <c r="V166">
        <f>SUM(R166:U166)</f>
      </c>
      <c r="X166" t="inlineStr">
        <is>
          <t>Rejeitado</t>
        </is>
      </c>
      <c r="AC166">
        <f>AB166/AA166</f>
      </c>
      <c r="AD166">
        <f>AB166/2*12</f>
      </c>
    </row>
    <row r="167">
      <c r="A167" t="inlineStr">
        <is>
          <t>IPO Porto</t>
        </is>
      </c>
      <c r="B167" t="inlineStr">
        <is>
          <t>Saúde</t>
        </is>
      </c>
      <c r="C167" t="inlineStr">
        <is>
          <t>Web Maintnence</t>
        </is>
      </c>
      <c r="G167" t="inlineStr">
        <is>
          <t>X</t>
        </is>
      </c>
      <c r="J167">
        <f>COUNTA(D167:I167)</f>
      </c>
      <c r="K167" t="inlineStr">
        <is>
          <t>Fee</t>
        </is>
      </c>
      <c r="L167" t="inlineStr">
        <is>
          <t>Orçamento</t>
        </is>
      </c>
      <c r="N167" t="inlineStr">
        <is>
          <t>2025-12-04</t>
        </is>
      </c>
      <c r="O167" t="inlineStr">
        <is>
          <t>Dez</t>
        </is>
      </c>
      <c r="P167" t="inlineStr">
        <is>
          <t>Q4</t>
        </is>
      </c>
      <c r="Q167">
        <v>2025</v>
      </c>
      <c r="V167">
        <f>SUM(R167:U167)</f>
      </c>
      <c r="X167" t="inlineStr">
        <is>
          <t>Rejeitado</t>
        </is>
      </c>
      <c r="AC167">
        <f>AB167/AA167</f>
      </c>
      <c r="AD167">
        <f>AB167/2*12</f>
      </c>
    </row>
    <row r="168">
      <c r="A168" t="inlineStr">
        <is>
          <t>Smart Energy Lab</t>
        </is>
      </c>
      <c r="B168" t="inlineStr">
        <is>
          <t>Energia</t>
        </is>
      </c>
      <c r="C168" t="inlineStr">
        <is>
          <t>Estratégia Comms</t>
        </is>
      </c>
      <c r="E168" t="inlineStr">
        <is>
          <t>X</t>
        </is>
      </c>
      <c r="G168" t="inlineStr">
        <is>
          <t>X</t>
        </is>
      </c>
      <c r="H168" t="inlineStr">
        <is>
          <t>X</t>
        </is>
      </c>
      <c r="J168">
        <f>COUNTA(D168:I168)</f>
      </c>
      <c r="K168" t="inlineStr">
        <is>
          <t>Projeto</t>
        </is>
      </c>
      <c r="L168" t="inlineStr">
        <is>
          <t>Orçamento</t>
        </is>
      </c>
      <c r="N168" t="inlineStr">
        <is>
          <t>2025-12-10</t>
        </is>
      </c>
      <c r="O168" t="inlineStr">
        <is>
          <t>Dez</t>
        </is>
      </c>
      <c r="P168" t="inlineStr">
        <is>
          <t>Q4</t>
        </is>
      </c>
      <c r="Q168">
        <v>2025</v>
      </c>
      <c r="V168">
        <f>SUM(R168:U168)</f>
      </c>
      <c r="X168" t="inlineStr">
        <is>
          <t>Rejeitado</t>
        </is>
      </c>
      <c r="AC168">
        <f>AB168/AA168</f>
      </c>
      <c r="AD168">
        <f>AB168/2*12</f>
      </c>
    </row>
    <row r="169">
      <c r="A169" t="inlineStr">
        <is>
          <t>FRS</t>
        </is>
      </c>
      <c r="B169" t="inlineStr">
        <is>
          <t>Turismo</t>
        </is>
      </c>
      <c r="C169" t="inlineStr">
        <is>
          <t>Redes Sociais</t>
        </is>
      </c>
      <c r="E169" t="inlineStr">
        <is>
          <t>X</t>
        </is>
      </c>
      <c r="F169" t="inlineStr">
        <is>
          <t>X</t>
        </is>
      </c>
      <c r="J169">
        <f>COUNTA(D169:I169)</f>
      </c>
      <c r="K169" t="inlineStr">
        <is>
          <t>Fee</t>
        </is>
      </c>
      <c r="L169" t="inlineStr">
        <is>
          <t>Orçamento</t>
        </is>
      </c>
      <c r="N169" t="inlineStr">
        <is>
          <t>2025-12-19</t>
        </is>
      </c>
      <c r="O169" t="inlineStr">
        <is>
          <t>Dez</t>
        </is>
      </c>
      <c r="P169" t="inlineStr">
        <is>
          <t>Q4</t>
        </is>
      </c>
      <c r="Q169">
        <v>2025</v>
      </c>
      <c r="V169">
        <f>SUM(R169:U169)</f>
      </c>
      <c r="X169" t="inlineStr">
        <is>
          <t>Rejeitado</t>
        </is>
      </c>
      <c r="AC169">
        <f>AB169/AA169</f>
      </c>
      <c r="AD169">
        <f>AB169/2*12</f>
      </c>
    </row>
    <row r="170">
      <c r="A170" t="inlineStr">
        <is>
          <t>Arrow Global</t>
        </is>
      </c>
      <c r="B170" t="inlineStr">
        <is>
          <t>Imobiliário</t>
        </is>
      </c>
      <c r="C170" t="inlineStr">
        <is>
          <t>Produção Content</t>
        </is>
      </c>
      <c r="D170" t="inlineStr">
        <is>
          <t>X</t>
        </is>
      </c>
      <c r="F170" t="inlineStr">
        <is>
          <t>X</t>
        </is>
      </c>
      <c r="J170">
        <f>COUNTA(D170:I170)</f>
      </c>
      <c r="K170" t="inlineStr">
        <is>
          <t>Fee</t>
        </is>
      </c>
      <c r="L170" t="inlineStr">
        <is>
          <t>Orçamento</t>
        </is>
      </c>
      <c r="N170" t="inlineStr">
        <is>
          <t>2025-12-30</t>
        </is>
      </c>
      <c r="O170" t="inlineStr">
        <is>
          <t>Dez</t>
        </is>
      </c>
      <c r="P170" t="inlineStr">
        <is>
          <t>Q4</t>
        </is>
      </c>
      <c r="Q170">
        <v>2025</v>
      </c>
      <c r="R170">
        <v>1</v>
      </c>
      <c r="U170">
        <v>1</v>
      </c>
      <c r="V170">
        <f>SUM(R170:U170)</f>
      </c>
      <c r="X170" t="inlineStr">
        <is>
          <t>Rejeitado</t>
        </is>
      </c>
      <c r="AC170">
        <f>AB170/AA170</f>
      </c>
      <c r="AD170">
        <f>AB170/2*12</f>
      </c>
    </row>
    <row r="171">
      <c r="A171" t="inlineStr">
        <is>
          <t>Lacatlis Ibéria</t>
        </is>
      </c>
      <c r="B171" t="inlineStr">
        <is>
          <t>Foods</t>
        </is>
      </c>
      <c r="C171" t="inlineStr">
        <is>
          <t>Main Agency</t>
        </is>
      </c>
      <c r="D171" t="inlineStr">
        <is>
          <t>X</t>
        </is>
      </c>
      <c r="E171" t="inlineStr">
        <is>
          <t>X</t>
        </is>
      </c>
      <c r="J171">
        <f>COUNTA(D171:I171)</f>
      </c>
      <c r="K171" t="inlineStr">
        <is>
          <t>Fee</t>
        </is>
      </c>
      <c r="L171" t="inlineStr">
        <is>
          <t>Orçamento</t>
        </is>
      </c>
      <c r="N171" t="inlineStr">
        <is>
          <t>2025-11-11</t>
        </is>
      </c>
      <c r="O171" t="inlineStr">
        <is>
          <t>Nov</t>
        </is>
      </c>
      <c r="P171" t="inlineStr">
        <is>
          <t>Q4</t>
        </is>
      </c>
      <c r="Q171">
        <v>2025</v>
      </c>
      <c r="R171">
        <v>1</v>
      </c>
      <c r="T171">
        <v>1</v>
      </c>
      <c r="V171">
        <f>SUM(R171:U171)</f>
      </c>
      <c r="X171" t="inlineStr">
        <is>
          <t>Rejeitado</t>
        </is>
      </c>
      <c r="AC171">
        <f>AB171/AA171</f>
      </c>
      <c r="AD171">
        <f>AB171/2*12</f>
      </c>
    </row>
    <row r="172">
      <c r="A172" t="inlineStr">
        <is>
          <t>JCDecaux</t>
        </is>
      </c>
      <c r="B172" t="inlineStr">
        <is>
          <t>Meios</t>
        </is>
      </c>
      <c r="C172" t="inlineStr">
        <is>
          <t>PR</t>
        </is>
      </c>
      <c r="J172">
        <f>COUNTA(D172:I172)</f>
      </c>
      <c r="K172" t="inlineStr">
        <is>
          <t>Fee</t>
        </is>
      </c>
      <c r="L172" t="inlineStr">
        <is>
          <t>Orçamento</t>
        </is>
      </c>
      <c r="N172" t="inlineStr">
        <is>
          <t>2025-11-11</t>
        </is>
      </c>
      <c r="O172" t="inlineStr">
        <is>
          <t>Nov</t>
        </is>
      </c>
      <c r="P172" t="inlineStr">
        <is>
          <t>Q4</t>
        </is>
      </c>
      <c r="Q172">
        <v>2025</v>
      </c>
      <c r="R172">
        <v>1</v>
      </c>
      <c r="V172">
        <f>SUM(R172:U172)</f>
      </c>
      <c r="W172" t="inlineStr">
        <is>
          <t>Não temos os serviços.</t>
        </is>
      </c>
      <c r="X172" t="inlineStr">
        <is>
          <t>Rejeitado</t>
        </is>
      </c>
      <c r="AC172">
        <f>AB172/AA172</f>
      </c>
      <c r="AD172">
        <f>AB172/2*12</f>
      </c>
    </row>
    <row r="173">
      <c r="A173" t="inlineStr">
        <is>
          <t>DIGI</t>
        </is>
      </c>
      <c r="B173" t="inlineStr">
        <is>
          <t>Telecomunicações</t>
        </is>
      </c>
      <c r="C173" t="inlineStr">
        <is>
          <t>Publicidade</t>
        </is>
      </c>
      <c r="I173" t="inlineStr">
        <is>
          <t>X</t>
        </is>
      </c>
      <c r="J173">
        <f>COUNTA(D173:I173)</f>
      </c>
      <c r="K173" t="inlineStr">
        <is>
          <t>Fee</t>
        </is>
      </c>
      <c r="L173" t="inlineStr">
        <is>
          <t>Criatividade</t>
        </is>
      </c>
      <c r="M173">
        <v>10470.00</v>
      </c>
      <c r="N173" t="inlineStr">
        <is>
          <t>2025-11-11</t>
        </is>
      </c>
      <c r="O173" t="inlineStr">
        <is>
          <t>Nov</t>
        </is>
      </c>
      <c r="P173" t="inlineStr">
        <is>
          <t>Q4</t>
        </is>
      </c>
      <c r="Q173">
        <v>2025</v>
      </c>
      <c r="S173">
        <v>1</v>
      </c>
      <c r="T173">
        <v>1</v>
      </c>
      <c r="V173">
        <f>SUM(R173:U173)</f>
      </c>
      <c r="X173" t="inlineStr">
        <is>
          <t>Perdido</t>
        </is>
      </c>
      <c r="Z173" t="inlineStr">
        <is>
          <t>Continuaram com a McCan</t>
        </is>
      </c>
      <c r="AC173">
        <f>AB173/AA173</f>
      </c>
      <c r="AD173">
        <f>AB173/2*12</f>
      </c>
    </row>
    <row r="174">
      <c r="A174" t="inlineStr">
        <is>
          <t>Unicef</t>
        </is>
      </c>
      <c r="B174" t="inlineStr">
        <is>
          <t>ONG</t>
        </is>
      </c>
      <c r="C174" t="inlineStr">
        <is>
          <t>Digital Comms</t>
        </is>
      </c>
      <c r="D174" t="inlineStr">
        <is>
          <t>X</t>
        </is>
      </c>
      <c r="G174" t="inlineStr">
        <is>
          <t>X</t>
        </is>
      </c>
      <c r="J174">
        <f>COUNTA(D174:I174)</f>
      </c>
      <c r="K174" t="inlineStr">
        <is>
          <t>Fee</t>
        </is>
      </c>
      <c r="L174" t="inlineStr">
        <is>
          <t>Orçamento</t>
        </is>
      </c>
      <c r="M174">
        <v>7590.00</v>
      </c>
      <c r="N174" t="inlineStr">
        <is>
          <t>2025-11-13</t>
        </is>
      </c>
      <c r="O174" t="inlineStr">
        <is>
          <t>Nov</t>
        </is>
      </c>
      <c r="P174" t="inlineStr">
        <is>
          <t>Q4</t>
        </is>
      </c>
      <c r="Q174">
        <v>2025</v>
      </c>
      <c r="R174">
        <v>1</v>
      </c>
      <c r="S174">
        <v>1</v>
      </c>
      <c r="V174">
        <f>SUM(R174:U174)</f>
      </c>
      <c r="X174" t="inlineStr">
        <is>
          <t>Perdido</t>
        </is>
      </c>
      <c r="Y174" t="inlineStr">
        <is>
          <t>2026-02-04</t>
        </is>
      </c>
      <c r="Z174" t="inlineStr">
        <is>
          <t>Falta de Buget</t>
        </is>
      </c>
      <c r="AC174">
        <f>AB174/AA174</f>
      </c>
      <c r="AD174">
        <f>AB174/2*12</f>
      </c>
    </row>
    <row r="175">
      <c r="A175" t="inlineStr">
        <is>
          <t>Aldeia das Crianças SOS</t>
        </is>
      </c>
      <c r="B175" t="inlineStr">
        <is>
          <t>ONG</t>
        </is>
      </c>
      <c r="C175" t="inlineStr">
        <is>
          <t>Campanha</t>
        </is>
      </c>
      <c r="D175" t="inlineStr">
        <is>
          <t>X</t>
        </is>
      </c>
      <c r="J175">
        <f>COUNTA(D175:I175)</f>
      </c>
      <c r="K175" t="inlineStr">
        <is>
          <t>Projeto</t>
        </is>
      </c>
      <c r="L175" t="inlineStr">
        <is>
          <t>Orçamento</t>
        </is>
      </c>
      <c r="N175" t="inlineStr">
        <is>
          <t>2025-11-14</t>
        </is>
      </c>
      <c r="O175" t="inlineStr">
        <is>
          <t>Nov</t>
        </is>
      </c>
      <c r="P175" t="inlineStr">
        <is>
          <t>Q4</t>
        </is>
      </c>
      <c r="Q175">
        <v>2025</v>
      </c>
      <c r="V175">
        <f>SUM(R175:U175)</f>
      </c>
      <c r="X175" t="inlineStr">
        <is>
          <t>Rejeitado</t>
        </is>
      </c>
      <c r="AC175">
        <f>AB175/AA175</f>
      </c>
      <c r="AD175">
        <f>AB175/2*12</f>
      </c>
    </row>
    <row r="176">
      <c r="A176" t="inlineStr">
        <is>
          <t>CR&amp;F</t>
        </is>
      </c>
      <c r="B176" t="inlineStr">
        <is>
          <t>Bebidas</t>
        </is>
      </c>
      <c r="C176" t="inlineStr">
        <is>
          <t>Campanha</t>
        </is>
      </c>
      <c r="D176" t="inlineStr">
        <is>
          <t>X</t>
        </is>
      </c>
      <c r="E176" t="inlineStr">
        <is>
          <t>X</t>
        </is>
      </c>
      <c r="J176">
        <f>COUNTA(D176:I176)</f>
      </c>
      <c r="K176" t="inlineStr">
        <is>
          <t>Projeto</t>
        </is>
      </c>
      <c r="L176" t="inlineStr">
        <is>
          <t>Orçamento</t>
        </is>
      </c>
      <c r="N176" t="inlineStr">
        <is>
          <t>2025-11-20</t>
        </is>
      </c>
      <c r="O176" t="inlineStr">
        <is>
          <t>Nov</t>
        </is>
      </c>
      <c r="P176" t="inlineStr">
        <is>
          <t>Q4</t>
        </is>
      </c>
      <c r="Q176">
        <v>2025</v>
      </c>
      <c r="R176">
        <v>1</v>
      </c>
      <c r="V176">
        <f>SUM(R176:U176)</f>
      </c>
      <c r="X176" t="inlineStr">
        <is>
          <t>Rejeitado</t>
        </is>
      </c>
      <c r="AC176">
        <f>AB176/AA176</f>
      </c>
      <c r="AD176">
        <f>AB176/2*12</f>
      </c>
    </row>
    <row r="177">
      <c r="A177" t="inlineStr">
        <is>
          <t>Pera Rocha do Oeste</t>
        </is>
      </c>
      <c r="B177" t="inlineStr">
        <is>
          <t>Food</t>
        </is>
      </c>
      <c r="C177" t="inlineStr">
        <is>
          <t>Estratégia Comms</t>
        </is>
      </c>
      <c r="E177" t="inlineStr">
        <is>
          <t>X</t>
        </is>
      </c>
      <c r="J177">
        <f>COUNTA(D177:I177)</f>
      </c>
      <c r="L177" t="inlineStr">
        <is>
          <t>Orçamento</t>
        </is>
      </c>
      <c r="N177" t="inlineStr">
        <is>
          <t>2025-11-24</t>
        </is>
      </c>
      <c r="O177" t="inlineStr">
        <is>
          <t>Nov</t>
        </is>
      </c>
      <c r="P177" t="inlineStr">
        <is>
          <t>Q4</t>
        </is>
      </c>
      <c r="Q177">
        <v>2025</v>
      </c>
      <c r="R177">
        <v>1</v>
      </c>
      <c r="T177">
        <v>1</v>
      </c>
      <c r="V177">
        <f>SUM(R177:U177)</f>
      </c>
      <c r="X177" t="inlineStr">
        <is>
          <t>Rejeitado</t>
        </is>
      </c>
      <c r="AC177">
        <f>AB177/AA177</f>
      </c>
      <c r="AD177">
        <f>AB177/2*12</f>
      </c>
    </row>
    <row r="178">
      <c r="A178" t="inlineStr">
        <is>
          <t>Camara de Setubal</t>
        </is>
      </c>
      <c r="B178" t="inlineStr">
        <is>
          <t>Publico</t>
        </is>
      </c>
      <c r="C178" t="inlineStr">
        <is>
          <t>Branding</t>
        </is>
      </c>
      <c r="E178" t="inlineStr">
        <is>
          <t>X</t>
        </is>
      </c>
      <c r="H178" t="inlineStr">
        <is>
          <t>X</t>
        </is>
      </c>
      <c r="J178">
        <f>COUNTA(D178:I178)</f>
      </c>
      <c r="K178" t="inlineStr">
        <is>
          <t>Projeto</t>
        </is>
      </c>
      <c r="L178" t="inlineStr">
        <is>
          <t>Estratégia</t>
        </is>
      </c>
      <c r="N178" t="inlineStr">
        <is>
          <t>2025-11-25</t>
        </is>
      </c>
      <c r="O178" t="inlineStr">
        <is>
          <t>Nov</t>
        </is>
      </c>
      <c r="P178" t="inlineStr">
        <is>
          <t>Q4</t>
        </is>
      </c>
      <c r="Q178">
        <v>2025</v>
      </c>
      <c r="T178">
        <v>1</v>
      </c>
      <c r="V178">
        <f>SUM(R178:U178)</f>
      </c>
      <c r="X178" t="inlineStr">
        <is>
          <t>Rejeitado</t>
        </is>
      </c>
      <c r="AC178">
        <f>AB178/AA178</f>
      </c>
      <c r="AD178">
        <f>AB178/2*12</f>
      </c>
    </row>
    <row r="179">
      <c r="A179" t="inlineStr">
        <is>
          <t>Fundação Semapa</t>
        </is>
      </c>
      <c r="B179" t="inlineStr">
        <is>
          <t>Financeiro</t>
        </is>
      </c>
      <c r="C179" t="inlineStr">
        <is>
          <t>Social Media</t>
        </is>
      </c>
      <c r="F179" t="inlineStr">
        <is>
          <t>X</t>
        </is>
      </c>
      <c r="J179">
        <f>COUNTA(D179:I179)</f>
      </c>
      <c r="K179" t="inlineStr">
        <is>
          <t>Fee</t>
        </is>
      </c>
      <c r="L179" t="inlineStr">
        <is>
          <t>Orçamento</t>
        </is>
      </c>
      <c r="N179" t="inlineStr">
        <is>
          <t>2025-10-06</t>
        </is>
      </c>
      <c r="O179" t="inlineStr">
        <is>
          <t>Out</t>
        </is>
      </c>
      <c r="P179" t="inlineStr">
        <is>
          <t>Q4</t>
        </is>
      </c>
      <c r="Q179">
        <v>2025</v>
      </c>
      <c r="T179">
        <v>1</v>
      </c>
      <c r="V179">
        <f>SUM(R179:U179)</f>
      </c>
      <c r="X179" t="inlineStr">
        <is>
          <t>Rejeitado</t>
        </is>
      </c>
      <c r="AC179">
        <f>AB179/AA179</f>
      </c>
      <c r="AD179">
        <f>AB179/2*12</f>
      </c>
    </row>
    <row r="180">
      <c r="A180" t="inlineStr">
        <is>
          <t>Ana Aeroportos</t>
        </is>
      </c>
      <c r="B180" t="inlineStr">
        <is>
          <t>Transportes</t>
        </is>
      </c>
      <c r="C180" t="inlineStr">
        <is>
          <t>Comunicação</t>
        </is>
      </c>
      <c r="J180">
        <f>COUNTA(D180:I180)</f>
      </c>
      <c r="K180" t="inlineStr">
        <is>
          <t>Projeto</t>
        </is>
      </c>
      <c r="L180" t="inlineStr">
        <is>
          <t>Criatividade</t>
        </is>
      </c>
      <c r="N180" t="inlineStr">
        <is>
          <t>2025-10-13</t>
        </is>
      </c>
      <c r="O180" t="inlineStr">
        <is>
          <t>Out</t>
        </is>
      </c>
      <c r="P180" t="inlineStr">
        <is>
          <t>Q4</t>
        </is>
      </c>
      <c r="Q180">
        <v>2025</v>
      </c>
      <c r="R180">
        <v>1</v>
      </c>
      <c r="V180">
        <f>SUM(R180:U180)</f>
      </c>
      <c r="X180" t="inlineStr">
        <is>
          <t>Rejeitado</t>
        </is>
      </c>
      <c r="AC180">
        <f>AB180/AA180</f>
      </c>
      <c r="AD180">
        <f>AB180/2*12</f>
      </c>
    </row>
    <row r="181">
      <c r="A181" t="inlineStr">
        <is>
          <t>Calvé</t>
        </is>
      </c>
      <c r="B181" t="inlineStr">
        <is>
          <t>Foods</t>
        </is>
      </c>
      <c r="C181" t="inlineStr">
        <is>
          <t>Publicidade</t>
        </is>
      </c>
      <c r="D181" t="inlineStr">
        <is>
          <t>X</t>
        </is>
      </c>
      <c r="E181" t="inlineStr">
        <is>
          <t>X</t>
        </is>
      </c>
      <c r="F181" t="inlineStr">
        <is>
          <t>X</t>
        </is>
      </c>
      <c r="J181">
        <f>COUNTA(D181:I181)</f>
      </c>
      <c r="K181" t="inlineStr">
        <is>
          <t>Projeto</t>
        </is>
      </c>
      <c r="L181" t="inlineStr">
        <is>
          <t>Criatividade</t>
        </is>
      </c>
      <c r="N181" t="inlineStr">
        <is>
          <t>2025-10-13</t>
        </is>
      </c>
      <c r="O181" t="inlineStr">
        <is>
          <t>Out</t>
        </is>
      </c>
      <c r="P181" t="inlineStr">
        <is>
          <t>Q4</t>
        </is>
      </c>
      <c r="Q181">
        <v>2025</v>
      </c>
      <c r="R181">
        <v>1</v>
      </c>
      <c r="S181">
        <v>1</v>
      </c>
      <c r="V181">
        <f>SUM(R181:U181)</f>
      </c>
      <c r="X181" t="inlineStr">
        <is>
          <t>Rejeitado</t>
        </is>
      </c>
      <c r="AC181">
        <f>AB181/AA181</f>
      </c>
      <c r="AD181">
        <f>AB181/2*12</f>
      </c>
    </row>
    <row r="182">
      <c r="A182" t="inlineStr">
        <is>
          <t>Lamares &amp; Capela Assosciados</t>
        </is>
      </c>
      <c r="B182" t="inlineStr">
        <is>
          <t>Advogados</t>
        </is>
      </c>
      <c r="C182" t="inlineStr">
        <is>
          <t>Comunicação</t>
        </is>
      </c>
      <c r="E182" t="inlineStr">
        <is>
          <t>X</t>
        </is>
      </c>
      <c r="F182" t="inlineStr">
        <is>
          <t>X</t>
        </is>
      </c>
      <c r="J182">
        <f>COUNTA(D182:I182)</f>
      </c>
      <c r="K182" t="inlineStr">
        <is>
          <t>Projeto</t>
        </is>
      </c>
      <c r="L182" t="inlineStr">
        <is>
          <t>Orçamento</t>
        </is>
      </c>
      <c r="N182" t="inlineStr">
        <is>
          <t>2025-10-13</t>
        </is>
      </c>
      <c r="O182" t="inlineStr">
        <is>
          <t>Out</t>
        </is>
      </c>
      <c r="P182" t="inlineStr">
        <is>
          <t>Q4</t>
        </is>
      </c>
      <c r="Q182">
        <v>2025</v>
      </c>
      <c r="V182">
        <f>SUM(R182:U182)</f>
      </c>
      <c r="X182" t="inlineStr">
        <is>
          <t>Rejeitado</t>
        </is>
      </c>
      <c r="AC182">
        <f>AB182/AA182</f>
      </c>
      <c r="AD182">
        <f>AB182/2*12</f>
      </c>
    </row>
    <row r="183">
      <c r="A183" t="inlineStr">
        <is>
          <t>JLL</t>
        </is>
      </c>
      <c r="B183" t="inlineStr">
        <is>
          <t>Imobiliário</t>
        </is>
      </c>
      <c r="C183" t="inlineStr">
        <is>
          <t>Gestão</t>
        </is>
      </c>
      <c r="I183" t="inlineStr">
        <is>
          <t>X</t>
        </is>
      </c>
      <c r="J183">
        <f>COUNTA(D183:I183)</f>
      </c>
      <c r="K183" t="inlineStr">
        <is>
          <t>Fee</t>
        </is>
      </c>
      <c r="L183" t="inlineStr">
        <is>
          <t>Orçamento</t>
        </is>
      </c>
      <c r="N183" t="inlineStr">
        <is>
          <t>2025-10-22</t>
        </is>
      </c>
      <c r="O183" t="inlineStr">
        <is>
          <t>Out</t>
        </is>
      </c>
      <c r="P183" t="inlineStr">
        <is>
          <t>Q4</t>
        </is>
      </c>
      <c r="Q183">
        <v>2025</v>
      </c>
      <c r="R183">
        <v>1</v>
      </c>
      <c r="V183">
        <f>SUM(R183:U183)</f>
      </c>
      <c r="X183" t="inlineStr">
        <is>
          <t>Rejeitado</t>
        </is>
      </c>
      <c r="AC183">
        <f>AB183/AA183</f>
      </c>
      <c r="AD183">
        <f>AB183/2*12</f>
      </c>
    </row>
    <row r="184">
      <c r="A184" t="inlineStr">
        <is>
          <t>Madeira - Produto Cultura</t>
        </is>
      </c>
      <c r="B184" t="inlineStr">
        <is>
          <t>Turismo</t>
        </is>
      </c>
      <c r="C184" t="inlineStr">
        <is>
          <t>Comms</t>
        </is>
      </c>
      <c r="I184" t="inlineStr">
        <is>
          <t>X</t>
        </is>
      </c>
      <c r="J184">
        <f>COUNTA(D184:I184)</f>
      </c>
      <c r="K184" t="inlineStr">
        <is>
          <t>Projeto</t>
        </is>
      </c>
      <c r="L184" t="inlineStr">
        <is>
          <t>Orçamento</t>
        </is>
      </c>
      <c r="N184" t="inlineStr">
        <is>
          <t>2025-10-16</t>
        </is>
      </c>
      <c r="O184" t="inlineStr">
        <is>
          <t>Out</t>
        </is>
      </c>
      <c r="P184" t="inlineStr">
        <is>
          <t>Q4</t>
        </is>
      </c>
      <c r="Q184">
        <v>2025</v>
      </c>
      <c r="R184">
        <v>1</v>
      </c>
      <c r="U184">
        <v>1</v>
      </c>
      <c r="V184">
        <f>SUM(R184:U184)</f>
      </c>
      <c r="X184" t="inlineStr">
        <is>
          <t>Rejeitado</t>
        </is>
      </c>
      <c r="AC184">
        <f>AB184/AA184</f>
      </c>
      <c r="AD184">
        <f>AB184/2*12</f>
      </c>
    </row>
    <row r="185">
      <c r="A185" t="inlineStr">
        <is>
          <t>Via Verde</t>
        </is>
      </c>
      <c r="B185" t="inlineStr">
        <is>
          <t>Transportes</t>
        </is>
      </c>
      <c r="C185" t="inlineStr">
        <is>
          <t>Design</t>
        </is>
      </c>
      <c r="H185" t="inlineStr">
        <is>
          <t>X</t>
        </is>
      </c>
      <c r="J185">
        <f>COUNTA(D185:I185)</f>
      </c>
      <c r="K185" t="inlineStr">
        <is>
          <t>Projeto</t>
        </is>
      </c>
      <c r="L185" t="inlineStr">
        <is>
          <t>Orçamento</t>
        </is>
      </c>
      <c r="N185" t="inlineStr">
        <is>
          <t>2025-10-29</t>
        </is>
      </c>
      <c r="O185" t="inlineStr">
        <is>
          <t>Out</t>
        </is>
      </c>
      <c r="P185" t="inlineStr">
        <is>
          <t>Q4</t>
        </is>
      </c>
      <c r="Q185">
        <v>2025</v>
      </c>
      <c r="R185">
        <v>1</v>
      </c>
      <c r="T185">
        <v>1</v>
      </c>
      <c r="V185">
        <f>SUM(R185:U185)</f>
      </c>
      <c r="X185" t="inlineStr">
        <is>
          <t>Rejeitado</t>
        </is>
      </c>
      <c r="AC185">
        <f>AB185/AA185</f>
      </c>
      <c r="AD185">
        <f>AB185/2*12</f>
      </c>
    </row>
    <row r="186">
      <c r="A186" t="inlineStr">
        <is>
          <t>Microsoft</t>
        </is>
      </c>
      <c r="B186" t="inlineStr">
        <is>
          <t>Tecnologia</t>
        </is>
      </c>
      <c r="C186" t="inlineStr">
        <is>
          <t>Branding Int Comms</t>
        </is>
      </c>
      <c r="H186" t="inlineStr">
        <is>
          <t>X</t>
        </is>
      </c>
      <c r="J186">
        <f>COUNTA(D186:I186)</f>
      </c>
      <c r="K186" t="inlineStr">
        <is>
          <t>Projeto</t>
        </is>
      </c>
      <c r="L186" t="inlineStr">
        <is>
          <t>Orçamento</t>
        </is>
      </c>
      <c r="N186" t="inlineStr">
        <is>
          <t>2026-02-03</t>
        </is>
      </c>
      <c r="O186" t="inlineStr">
        <is>
          <t>Fev</t>
        </is>
      </c>
      <c r="P186" t="inlineStr">
        <is>
          <t>Q1</t>
        </is>
      </c>
      <c r="Q186">
        <v>2026</v>
      </c>
      <c r="R186">
        <v>1</v>
      </c>
      <c r="T186">
        <v>1</v>
      </c>
      <c r="U186">
        <v>1</v>
      </c>
      <c r="V186">
        <f>SUM(R186:U186)</f>
      </c>
      <c r="X186" t="inlineStr">
        <is>
          <t>Rejeitado</t>
        </is>
      </c>
      <c r="AC186">
        <f>AB186/AA186</f>
      </c>
      <c r="AD186">
        <f>AB186/2*12</f>
      </c>
    </row>
    <row r="187">
      <c r="A187" t="inlineStr">
        <is>
          <t>Unicef</t>
        </is>
      </c>
      <c r="B187" t="inlineStr">
        <is>
          <t>ONG</t>
        </is>
      </c>
      <c r="C187" t="inlineStr">
        <is>
          <t>Campanha</t>
        </is>
      </c>
      <c r="D187" t="inlineStr">
        <is>
          <t>X</t>
        </is>
      </c>
      <c r="J187">
        <f>COUNTA(D187:I187)</f>
      </c>
      <c r="K187" t="inlineStr">
        <is>
          <t>Projeto</t>
        </is>
      </c>
      <c r="L187" t="inlineStr">
        <is>
          <t>Orçamento</t>
        </is>
      </c>
      <c r="N187" t="inlineStr">
        <is>
          <t>2026-02-04</t>
        </is>
      </c>
      <c r="O187" t="inlineStr">
        <is>
          <t>Fev</t>
        </is>
      </c>
      <c r="P187" t="inlineStr">
        <is>
          <t>Q1</t>
        </is>
      </c>
      <c r="Q187">
        <v>2026</v>
      </c>
      <c r="R187">
        <v>1</v>
      </c>
      <c r="S187">
        <v>1</v>
      </c>
      <c r="V187">
        <f>SUM(R187:U187)</f>
      </c>
      <c r="X187" t="inlineStr">
        <is>
          <t>Rejeitado</t>
        </is>
      </c>
      <c r="Z187" t="inlineStr">
        <is>
          <t>Conflito de Interesses</t>
        </is>
      </c>
      <c r="AC187">
        <f>AB187/AA187</f>
      </c>
      <c r="AD187">
        <f>AB187/2*12</f>
      </c>
    </row>
    <row r="188">
      <c r="A188" t="inlineStr">
        <is>
          <t>Fundação Jeronimo Martins</t>
        </is>
      </c>
      <c r="B188" t="inlineStr">
        <is>
          <t>Social</t>
        </is>
      </c>
      <c r="C188" t="inlineStr">
        <is>
          <t>Comms</t>
        </is>
      </c>
      <c r="D188" t="inlineStr">
        <is>
          <t>X</t>
        </is>
      </c>
      <c r="E188" t="inlineStr">
        <is>
          <t>X</t>
        </is>
      </c>
      <c r="J188">
        <f>COUNTA(D188:I188)</f>
      </c>
      <c r="K188" t="inlineStr">
        <is>
          <t>Fee</t>
        </is>
      </c>
      <c r="L188" t="inlineStr">
        <is>
          <t>Orçamento</t>
        </is>
      </c>
      <c r="N188" t="inlineStr">
        <is>
          <t>2026-02-06</t>
        </is>
      </c>
      <c r="O188" t="inlineStr">
        <is>
          <t>Fev</t>
        </is>
      </c>
      <c r="P188" t="inlineStr">
        <is>
          <t>Q1</t>
        </is>
      </c>
      <c r="Q188">
        <v>2026</v>
      </c>
      <c r="R188">
        <v>1</v>
      </c>
      <c r="T188">
        <v>1</v>
      </c>
      <c r="V188">
        <f>SUM(R188:U188)</f>
      </c>
      <c r="X188" t="inlineStr">
        <is>
          <t>Rejeitado</t>
        </is>
      </c>
      <c r="Z188" t="inlineStr">
        <is>
          <t>Conflito de Interesses</t>
        </is>
      </c>
      <c r="AC188">
        <f>AB188/AA188</f>
      </c>
      <c r="AD188">
        <f>AB188/2*12</f>
      </c>
    </row>
    <row r="189">
      <c r="A189" t="inlineStr">
        <is>
          <t>Atelier Rebelo de Andrade</t>
        </is>
      </c>
      <c r="B189" t="inlineStr">
        <is>
          <t>Arquitetura</t>
        </is>
      </c>
      <c r="C189" t="inlineStr">
        <is>
          <t>Design + Web</t>
        </is>
      </c>
      <c r="G189" t="inlineStr">
        <is>
          <t>X</t>
        </is>
      </c>
      <c r="H189" t="inlineStr">
        <is>
          <t>X</t>
        </is>
      </c>
      <c r="J189">
        <f>COUNTA(D189:I189)</f>
      </c>
      <c r="K189" t="inlineStr">
        <is>
          <t>Projeto</t>
        </is>
      </c>
      <c r="L189" t="inlineStr">
        <is>
          <t>Orçamento</t>
        </is>
      </c>
      <c r="N189" t="inlineStr">
        <is>
          <t>2026-02-04</t>
        </is>
      </c>
      <c r="O189" t="inlineStr">
        <is>
          <t>Fev</t>
        </is>
      </c>
      <c r="P189" t="inlineStr">
        <is>
          <t>Q1</t>
        </is>
      </c>
      <c r="Q189">
        <v>2026</v>
      </c>
      <c r="T189">
        <v>1</v>
      </c>
      <c r="V189">
        <f>SUM(R189:U189)</f>
      </c>
      <c r="X189" t="inlineStr">
        <is>
          <t>Rejeitado</t>
        </is>
      </c>
      <c r="AC189">
        <f>AB189/AA189</f>
      </c>
      <c r="AD189">
        <f>AB189/2*12</f>
      </c>
    </row>
    <row r="190">
      <c r="A190" t="inlineStr">
        <is>
          <t>Residual Studio</t>
        </is>
      </c>
      <c r="B190" t="inlineStr">
        <is>
          <t>Arquitetura</t>
        </is>
      </c>
      <c r="C190" t="inlineStr">
        <is>
          <t>Branding + Web</t>
        </is>
      </c>
      <c r="G190" t="inlineStr">
        <is>
          <t>X</t>
        </is>
      </c>
      <c r="H190" t="inlineStr">
        <is>
          <t>X</t>
        </is>
      </c>
      <c r="J190">
        <f>COUNTA(D190:I190)</f>
      </c>
      <c r="K190" t="inlineStr">
        <is>
          <t>Projeto</t>
        </is>
      </c>
      <c r="L190" t="inlineStr">
        <is>
          <t>Orçamento</t>
        </is>
      </c>
      <c r="N190" t="inlineStr">
        <is>
          <t>2026-02-05</t>
        </is>
      </c>
      <c r="O190" t="inlineStr">
        <is>
          <t>Fev</t>
        </is>
      </c>
      <c r="P190" t="inlineStr">
        <is>
          <t>Q1</t>
        </is>
      </c>
      <c r="Q190">
        <v>2026</v>
      </c>
      <c r="V190">
        <f>SUM(R190:U190)</f>
      </c>
      <c r="X190" t="inlineStr">
        <is>
          <t>Rejeitado</t>
        </is>
      </c>
      <c r="AC190">
        <f>AB190/AA190</f>
      </c>
      <c r="AD190">
        <f>AB190/2*12</f>
      </c>
    </row>
    <row r="191">
      <c r="A191" t="inlineStr">
        <is>
          <t>ABC CoLAB</t>
        </is>
      </c>
      <c r="B191" t="inlineStr">
        <is>
          <t>Saúde</t>
        </is>
      </c>
      <c r="C191" t="inlineStr">
        <is>
          <t>Design + Prod</t>
        </is>
      </c>
      <c r="H191" t="inlineStr">
        <is>
          <t>X</t>
        </is>
      </c>
      <c r="J191">
        <f>COUNTA(D191:I191)</f>
      </c>
      <c r="K191" t="inlineStr">
        <is>
          <t>Projeto</t>
        </is>
      </c>
      <c r="L191" t="inlineStr">
        <is>
          <t>Orçamento</t>
        </is>
      </c>
      <c r="N191" t="inlineStr">
        <is>
          <t>2026-02-13</t>
        </is>
      </c>
      <c r="O191" t="inlineStr">
        <is>
          <t>Fev</t>
        </is>
      </c>
      <c r="P191" t="inlineStr">
        <is>
          <t>Q1</t>
        </is>
      </c>
      <c r="Q191">
        <v>2026</v>
      </c>
      <c r="V191">
        <f>SUM(R191:U191)</f>
      </c>
      <c r="X191" t="inlineStr">
        <is>
          <t>Rejeitado</t>
        </is>
      </c>
      <c r="AC191">
        <f>AB191/AA191</f>
      </c>
      <c r="AD191">
        <f>AB191/2*12</f>
      </c>
    </row>
    <row r="192">
      <c r="A192" t="inlineStr">
        <is>
          <t>Macris LDA</t>
        </is>
      </c>
      <c r="B192" t="inlineStr">
        <is>
          <t>Consultoria</t>
        </is>
      </c>
      <c r="C192" t="inlineStr">
        <is>
          <t>Not Specified</t>
        </is>
      </c>
      <c r="E192" t="inlineStr">
        <is>
          <t>X</t>
        </is>
      </c>
      <c r="G192" t="inlineStr">
        <is>
          <t>X</t>
        </is>
      </c>
      <c r="J192">
        <f>COUNTA(D192:I192)</f>
      </c>
      <c r="K192" t="inlineStr">
        <is>
          <t>Projeto</t>
        </is>
      </c>
      <c r="L192" t="inlineStr">
        <is>
          <t>Orçamento</t>
        </is>
      </c>
      <c r="N192" t="inlineStr">
        <is>
          <t>2026-02-18</t>
        </is>
      </c>
      <c r="O192" t="inlineStr">
        <is>
          <t>Fev</t>
        </is>
      </c>
      <c r="P192" t="inlineStr">
        <is>
          <t>Q1</t>
        </is>
      </c>
      <c r="Q192">
        <v>2026</v>
      </c>
      <c r="V192">
        <f>SUM(R192:U192)</f>
      </c>
      <c r="X192" t="inlineStr">
        <is>
          <t>Rejeitado</t>
        </is>
      </c>
      <c r="AC192">
        <f>AB192/AA192</f>
      </c>
      <c r="AD192">
        <f>AB192/2*12</f>
      </c>
    </row>
    <row r="193">
      <c r="A193" t="inlineStr">
        <is>
          <t>Danone -  YoPRO</t>
        </is>
      </c>
      <c r="B193" t="inlineStr">
        <is>
          <t>Foods</t>
        </is>
      </c>
      <c r="C193" t="inlineStr">
        <is>
          <t>Ativações</t>
        </is>
      </c>
      <c r="D193" t="inlineStr">
        <is>
          <t>X</t>
        </is>
      </c>
      <c r="E193" t="inlineStr">
        <is>
          <t>X</t>
        </is>
      </c>
      <c r="J193">
        <f>COUNTA(D193:I193)</f>
      </c>
      <c r="K193" t="inlineStr">
        <is>
          <t>Projeto</t>
        </is>
      </c>
      <c r="L193" t="inlineStr">
        <is>
          <t>Criatividade</t>
        </is>
      </c>
      <c r="N193" t="inlineStr">
        <is>
          <t>2026-02-20</t>
        </is>
      </c>
      <c r="O193" t="inlineStr">
        <is>
          <t>Fev</t>
        </is>
      </c>
      <c r="P193" t="inlineStr">
        <is>
          <t>Q1</t>
        </is>
      </c>
      <c r="Q193">
        <v>2026</v>
      </c>
      <c r="R193">
        <v>1</v>
      </c>
      <c r="S193">
        <v>1</v>
      </c>
      <c r="V193">
        <f>SUM(R193:U193)</f>
      </c>
      <c r="X193" t="inlineStr">
        <is>
          <t>Rejeitado</t>
        </is>
      </c>
      <c r="AC193">
        <f>AB193/AA193</f>
      </c>
      <c r="AD193">
        <f>AB193/2*12</f>
      </c>
    </row>
    <row r="194">
      <c r="A194" t="inlineStr">
        <is>
          <t>Moviflor</t>
        </is>
      </c>
      <c r="B194" t="inlineStr">
        <is>
          <t>Retalho Direto</t>
        </is>
      </c>
      <c r="C194" t="inlineStr">
        <is>
          <t>Branding</t>
        </is>
      </c>
      <c r="E194" t="inlineStr">
        <is>
          <t>X</t>
        </is>
      </c>
      <c r="H194" t="inlineStr">
        <is>
          <t>X</t>
        </is>
      </c>
      <c r="J194">
        <f>COUNTA(D194:I194)</f>
      </c>
      <c r="K194" t="inlineStr">
        <is>
          <t>Projeto</t>
        </is>
      </c>
      <c r="L194" t="inlineStr">
        <is>
          <t>Orçamento</t>
        </is>
      </c>
      <c r="N194" t="inlineStr">
        <is>
          <t>2026-02-10</t>
        </is>
      </c>
      <c r="O194" t="inlineStr">
        <is>
          <t>Fev</t>
        </is>
      </c>
      <c r="P194" t="inlineStr">
        <is>
          <t>Q1</t>
        </is>
      </c>
      <c r="Q194">
        <v>2026</v>
      </c>
      <c r="S194">
        <v>1</v>
      </c>
      <c r="V194">
        <f>SUM(R194:U194)</f>
      </c>
      <c r="X194" t="inlineStr">
        <is>
          <t>Rejeitado</t>
        </is>
      </c>
      <c r="AC194">
        <f>AB194/AA194</f>
      </c>
      <c r="AD194">
        <f>AB194/2*12</f>
      </c>
    </row>
    <row r="195">
      <c r="A195" t="inlineStr">
        <is>
          <t>Humana</t>
        </is>
      </c>
      <c r="B195" t="inlineStr">
        <is>
          <t>ONG</t>
        </is>
      </c>
      <c r="C195" t="inlineStr">
        <is>
          <t>Estratégia</t>
        </is>
      </c>
      <c r="E195" t="inlineStr">
        <is>
          <t>X</t>
        </is>
      </c>
      <c r="J195">
        <f>COUNTA(D195:I195)</f>
      </c>
      <c r="K195" t="inlineStr">
        <is>
          <t>Projeto</t>
        </is>
      </c>
      <c r="L195" t="inlineStr">
        <is>
          <t>Orçamento</t>
        </is>
      </c>
      <c r="N195" t="inlineStr">
        <is>
          <t>2026-02-20</t>
        </is>
      </c>
      <c r="O195" t="inlineStr">
        <is>
          <t>Fev</t>
        </is>
      </c>
      <c r="P195" t="inlineStr">
        <is>
          <t>Q1</t>
        </is>
      </c>
      <c r="Q195">
        <v>2026</v>
      </c>
      <c r="R195">
        <v>1</v>
      </c>
      <c r="V195">
        <f>SUM(R195:U195)</f>
      </c>
      <c r="X195" t="inlineStr">
        <is>
          <t>Rejeitado</t>
        </is>
      </c>
      <c r="AC195">
        <f>AB195/AA195</f>
      </c>
      <c r="AD195">
        <f>AB195/2*12</f>
      </c>
    </row>
    <row r="196">
      <c r="A196" t="inlineStr">
        <is>
          <t>EDP x Pingo Doce</t>
        </is>
      </c>
      <c r="B196" t="inlineStr">
        <is>
          <t>Retalho Direto</t>
        </is>
      </c>
      <c r="C196" t="inlineStr">
        <is>
          <t>Campanha</t>
        </is>
      </c>
      <c r="I196" t="inlineStr">
        <is>
          <t>X</t>
        </is>
      </c>
      <c r="J196">
        <f>COUNTA(D196:I196)</f>
      </c>
      <c r="K196" t="inlineStr">
        <is>
          <t>Fee</t>
        </is>
      </c>
      <c r="L196" t="inlineStr">
        <is>
          <t>Criatividade</t>
        </is>
      </c>
      <c r="N196" t="inlineStr">
        <is>
          <t>2026-02-23</t>
        </is>
      </c>
      <c r="O196" t="inlineStr">
        <is>
          <t>Fev</t>
        </is>
      </c>
      <c r="P196" t="inlineStr">
        <is>
          <t>Q1</t>
        </is>
      </c>
      <c r="Q196">
        <v>2026</v>
      </c>
      <c r="R196">
        <v>1</v>
      </c>
      <c r="S196">
        <v>1</v>
      </c>
      <c r="T196">
        <v>1</v>
      </c>
      <c r="V196">
        <f>SUM(R196:U196)</f>
      </c>
      <c r="X196" t="inlineStr">
        <is>
          <t>Perdido</t>
        </is>
      </c>
      <c r="AC196">
        <f>AB196/AA196</f>
      </c>
      <c r="AD196">
        <f>AB196/2*12</f>
      </c>
    </row>
    <row r="197">
      <c r="A197" t="inlineStr">
        <is>
          <t>Philip Morris International</t>
        </is>
      </c>
      <c r="B197" t="inlineStr">
        <is>
          <t>Retalho Direto</t>
        </is>
      </c>
      <c r="C197" t="inlineStr">
        <is>
          <t>360</t>
        </is>
      </c>
      <c r="D197" t="inlineStr">
        <is>
          <t>X</t>
        </is>
      </c>
      <c r="E197" t="inlineStr">
        <is>
          <t>X</t>
        </is>
      </c>
      <c r="H197" t="inlineStr">
        <is>
          <t>X</t>
        </is>
      </c>
      <c r="I197" t="inlineStr">
        <is>
          <t>X</t>
        </is>
      </c>
      <c r="J197">
        <f>COUNTA(D197:I197)</f>
      </c>
      <c r="K197" t="inlineStr">
        <is>
          <t>Projeto</t>
        </is>
      </c>
      <c r="L197" t="inlineStr">
        <is>
          <t>Credenciais</t>
        </is>
      </c>
      <c r="N197" t="inlineStr">
        <is>
          <t>2026-02-25</t>
        </is>
      </c>
      <c r="O197" t="inlineStr">
        <is>
          <t>Fev</t>
        </is>
      </c>
      <c r="P197" t="inlineStr">
        <is>
          <t>Q1</t>
        </is>
      </c>
      <c r="Q197">
        <v>2026</v>
      </c>
      <c r="R197">
        <v>1</v>
      </c>
      <c r="T197">
        <v>1</v>
      </c>
      <c r="V197">
        <f>SUM(R197:U197)</f>
      </c>
      <c r="X197" t="inlineStr">
        <is>
          <t>Ganho</t>
        </is>
      </c>
      <c r="AC197">
        <f>AB197/AA197</f>
      </c>
      <c r="AD197">
        <f>AB197/2*12</f>
      </c>
      <c r="AE197">
        <v>1</v>
      </c>
    </row>
    <row r="198">
      <c r="A198" t="inlineStr">
        <is>
          <t>Startup Portugal</t>
        </is>
      </c>
      <c r="B198" t="inlineStr">
        <is>
          <t>Empreendorismo</t>
        </is>
      </c>
      <c r="C198" t="inlineStr">
        <is>
          <t>Publicidade</t>
        </is>
      </c>
      <c r="D198" t="inlineStr">
        <is>
          <t>X</t>
        </is>
      </c>
      <c r="E198" t="inlineStr">
        <is>
          <t>X</t>
        </is>
      </c>
      <c r="J198">
        <f>COUNTA(D198:I198)</f>
      </c>
      <c r="K198" t="inlineStr">
        <is>
          <t>Projeto</t>
        </is>
      </c>
      <c r="L198" t="inlineStr">
        <is>
          <t>Orçamento</t>
        </is>
      </c>
      <c r="N198" t="inlineStr">
        <is>
          <t>2026-01-02</t>
        </is>
      </c>
      <c r="O198" t="inlineStr">
        <is>
          <t>Jan</t>
        </is>
      </c>
      <c r="P198" t="inlineStr">
        <is>
          <t>Q1</t>
        </is>
      </c>
      <c r="Q198">
        <v>2026</v>
      </c>
      <c r="T198">
        <v>1</v>
      </c>
      <c r="V198">
        <f>SUM(R198:U198)</f>
      </c>
      <c r="X198" t="inlineStr">
        <is>
          <t>Rejeitado</t>
        </is>
      </c>
      <c r="AC198">
        <f>AB198/AA198</f>
      </c>
      <c r="AD198">
        <f>AB198/2*12</f>
      </c>
    </row>
    <row r="199">
      <c r="A199" t="inlineStr">
        <is>
          <t>UIP - PIC Funds</t>
        </is>
      </c>
      <c r="B199" t="inlineStr">
        <is>
          <t>Imobiliário</t>
        </is>
      </c>
      <c r="C199" t="inlineStr">
        <is>
          <t>Comms Digitais</t>
        </is>
      </c>
      <c r="F199" t="inlineStr">
        <is>
          <t>X</t>
        </is>
      </c>
      <c r="G199" t="inlineStr">
        <is>
          <t>X</t>
        </is>
      </c>
      <c r="J199">
        <f>COUNTA(D199:I199)</f>
      </c>
      <c r="K199" t="inlineStr">
        <is>
          <t>Projeto</t>
        </is>
      </c>
      <c r="L199" t="inlineStr">
        <is>
          <t>Orçamento</t>
        </is>
      </c>
      <c r="N199" t="inlineStr">
        <is>
          <t>2026-01-05</t>
        </is>
      </c>
      <c r="O199" t="inlineStr">
        <is>
          <t>Jan</t>
        </is>
      </c>
      <c r="P199" t="inlineStr">
        <is>
          <t>Q1</t>
        </is>
      </c>
      <c r="Q199">
        <v>2026</v>
      </c>
      <c r="T199">
        <v>1</v>
      </c>
      <c r="V199">
        <f>SUM(R199:U199)</f>
      </c>
      <c r="X199" t="inlineStr">
        <is>
          <t>Rejeitado</t>
        </is>
      </c>
      <c r="AC199">
        <f>AB199/AA199</f>
      </c>
      <c r="AD199">
        <f>AB199/2*12</f>
      </c>
    </row>
    <row r="200">
      <c r="A200" t="inlineStr">
        <is>
          <t>TERRA Labs</t>
        </is>
      </c>
      <c r="B200" t="inlineStr">
        <is>
          <t>Farmaceutica</t>
        </is>
      </c>
      <c r="C200" t="inlineStr">
        <is>
          <t>General Comms</t>
        </is>
      </c>
      <c r="F200" t="inlineStr">
        <is>
          <t>X</t>
        </is>
      </c>
      <c r="G200" t="inlineStr">
        <is>
          <t>X</t>
        </is>
      </c>
      <c r="J200">
        <f>COUNTA(D200:I200)</f>
      </c>
      <c r="K200" t="inlineStr">
        <is>
          <t>Fee</t>
        </is>
      </c>
      <c r="L200" t="inlineStr">
        <is>
          <t>Orçamento</t>
        </is>
      </c>
      <c r="N200" t="inlineStr">
        <is>
          <t>2026-01-11</t>
        </is>
      </c>
      <c r="O200" t="inlineStr">
        <is>
          <t>Jan</t>
        </is>
      </c>
      <c r="P200" t="inlineStr">
        <is>
          <t>Q1</t>
        </is>
      </c>
      <c r="Q200">
        <v>2026</v>
      </c>
      <c r="V200">
        <f>SUM(R200:U200)</f>
      </c>
      <c r="X200" t="inlineStr">
        <is>
          <t>Rejeitado</t>
        </is>
      </c>
      <c r="AC200">
        <f>AB200/AA200</f>
      </c>
      <c r="AD200">
        <f>AB200/2*12</f>
      </c>
    </row>
    <row r="201">
      <c r="A201" t="inlineStr">
        <is>
          <t>TAP</t>
        </is>
      </c>
      <c r="B201" t="inlineStr">
        <is>
          <t>Transportes</t>
        </is>
      </c>
      <c r="C201" t="inlineStr">
        <is>
          <t>Social Media</t>
        </is>
      </c>
      <c r="E201" t="inlineStr">
        <is>
          <t>X</t>
        </is>
      </c>
      <c r="F201" t="inlineStr">
        <is>
          <t>X</t>
        </is>
      </c>
      <c r="J201">
        <f>COUNTA(D201:I201)</f>
      </c>
      <c r="K201" t="inlineStr">
        <is>
          <t>Fee</t>
        </is>
      </c>
      <c r="L201" t="inlineStr">
        <is>
          <t>Criatividade</t>
        </is>
      </c>
      <c r="N201" t="inlineStr">
        <is>
          <t>2026-01-26</t>
        </is>
      </c>
      <c r="O201" t="inlineStr">
        <is>
          <t>Jan</t>
        </is>
      </c>
      <c r="P201" t="inlineStr">
        <is>
          <t>Q1</t>
        </is>
      </c>
      <c r="Q201">
        <v>2026</v>
      </c>
      <c r="R201">
        <v>1</v>
      </c>
      <c r="S201">
        <v>1</v>
      </c>
      <c r="T201">
        <v>1</v>
      </c>
      <c r="V201">
        <f>SUM(R201:U201)</f>
      </c>
      <c r="X201" t="inlineStr">
        <is>
          <t>Rejeitado</t>
        </is>
      </c>
      <c r="AC201">
        <f>AB201/AA201</f>
      </c>
      <c r="AD201">
        <f>AB201/2*12</f>
      </c>
    </row>
    <row r="202">
      <c r="A202" t="inlineStr">
        <is>
          <t>Madly in Love</t>
        </is>
      </c>
      <c r="B202" t="inlineStr">
        <is>
          <t>Eventos</t>
        </is>
      </c>
      <c r="C202" t="inlineStr">
        <is>
          <t>Social Media</t>
        </is>
      </c>
      <c r="F202" t="inlineStr">
        <is>
          <t>X</t>
        </is>
      </c>
      <c r="J202">
        <f>COUNTA(D202:I202)</f>
      </c>
      <c r="K202" t="inlineStr">
        <is>
          <t>Fee</t>
        </is>
      </c>
      <c r="L202" t="inlineStr">
        <is>
          <t>Orçamento</t>
        </is>
      </c>
      <c r="N202" t="inlineStr">
        <is>
          <t>2026-01-17</t>
        </is>
      </c>
      <c r="O202" t="inlineStr">
        <is>
          <t>Jan</t>
        </is>
      </c>
      <c r="P202" t="inlineStr">
        <is>
          <t>Q1</t>
        </is>
      </c>
      <c r="Q202">
        <v>2026</v>
      </c>
      <c r="V202">
        <f>SUM(R202:U202)</f>
      </c>
      <c r="X202" t="inlineStr">
        <is>
          <t>Rejeitado</t>
        </is>
      </c>
      <c r="AC202">
        <f>AB202/AA202</f>
      </c>
      <c r="AD202">
        <f>AB202/2*12</f>
      </c>
    </row>
    <row r="203">
      <c r="A203" t="inlineStr">
        <is>
          <t>Leasys</t>
        </is>
      </c>
      <c r="B203" t="inlineStr">
        <is>
          <t>Transportes</t>
        </is>
      </c>
      <c r="C203" t="inlineStr">
        <is>
          <t>Social + Ads</t>
        </is>
      </c>
      <c r="F203" t="inlineStr">
        <is>
          <t>X</t>
        </is>
      </c>
      <c r="G203" t="inlineStr">
        <is>
          <t>X</t>
        </is>
      </c>
      <c r="J203">
        <f>COUNTA(D203:I203)</f>
      </c>
      <c r="K203" t="inlineStr">
        <is>
          <t>Fee</t>
        </is>
      </c>
      <c r="L203" t="inlineStr">
        <is>
          <t>Orçamento</t>
        </is>
      </c>
      <c r="N203" t="inlineStr">
        <is>
          <t>2026-01-30</t>
        </is>
      </c>
      <c r="O203" t="inlineStr">
        <is>
          <t>Jan</t>
        </is>
      </c>
      <c r="P203" t="inlineStr">
        <is>
          <t>Q1</t>
        </is>
      </c>
      <c r="Q203">
        <v>2026</v>
      </c>
      <c r="V203">
        <f>SUM(R203:U203)</f>
      </c>
      <c r="X203" t="inlineStr">
        <is>
          <t>Rejeitado</t>
        </is>
      </c>
      <c r="AC203">
        <f>AB203/AA203</f>
      </c>
      <c r="AD203">
        <f>AB203/2*12</f>
      </c>
    </row>
    <row r="204">
      <c r="A204" t="inlineStr">
        <is>
          <t>Clinica Delille</t>
        </is>
      </c>
      <c r="B204" t="inlineStr">
        <is>
          <t>Medicina</t>
        </is>
      </c>
      <c r="C204" t="inlineStr">
        <is>
          <t>Branding</t>
        </is>
      </c>
      <c r="E204" t="inlineStr">
        <is>
          <t>X</t>
        </is>
      </c>
      <c r="H204" t="inlineStr">
        <is>
          <t>X</t>
        </is>
      </c>
      <c r="J204">
        <f>COUNTA(D204:I204)</f>
      </c>
      <c r="K204" t="inlineStr">
        <is>
          <t>Projeto</t>
        </is>
      </c>
      <c r="L204" t="inlineStr">
        <is>
          <t>Orçamento</t>
        </is>
      </c>
      <c r="M204">
        <v>10850.00</v>
      </c>
      <c r="N204" t="inlineStr">
        <is>
          <t>2026-01-30</t>
        </is>
      </c>
      <c r="O204" t="inlineStr">
        <is>
          <t>Jan</t>
        </is>
      </c>
      <c r="P204" t="inlineStr">
        <is>
          <t>Q1</t>
        </is>
      </c>
      <c r="Q204">
        <v>2026</v>
      </c>
      <c r="S204">
        <v>1</v>
      </c>
      <c r="U204">
        <v>1</v>
      </c>
      <c r="V204">
        <f>SUM(R204:U204)</f>
      </c>
      <c r="X204" t="inlineStr">
        <is>
          <t>Ganho</t>
        </is>
      </c>
      <c r="Y204" t="inlineStr">
        <is>
          <t>2026-02-18</t>
        </is>
      </c>
      <c r="AA204">
        <v>10850.00</v>
      </c>
      <c r="AB204">
        <v>10850.00</v>
      </c>
      <c r="AC204">
        <f>AB204/AA204</f>
      </c>
      <c r="AD204">
        <f>AB204/2*12</f>
      </c>
      <c r="AE204">
        <v>2</v>
      </c>
    </row>
    <row r="205">
      <c r="A205" t="inlineStr">
        <is>
          <t>Urban Park Torres Vedras</t>
        </is>
      </c>
      <c r="B205" t="inlineStr">
        <is>
          <t>Entretenimento</t>
        </is>
      </c>
      <c r="C205" t="inlineStr">
        <is>
          <t>Branding + SM</t>
        </is>
      </c>
      <c r="E205" t="inlineStr">
        <is>
          <t>X</t>
        </is>
      </c>
      <c r="F205" t="inlineStr">
        <is>
          <t>X</t>
        </is>
      </c>
      <c r="H205" t="inlineStr">
        <is>
          <t>X</t>
        </is>
      </c>
      <c r="J205">
        <f>COUNTA(D205:I205)</f>
      </c>
      <c r="K205" t="inlineStr">
        <is>
          <t>Projeto</t>
        </is>
      </c>
      <c r="L205" t="inlineStr">
        <is>
          <t>Orçamento</t>
        </is>
      </c>
      <c r="N205" t="inlineStr">
        <is>
          <t>2026-01-28</t>
        </is>
      </c>
      <c r="O205" t="inlineStr">
        <is>
          <t>Jan</t>
        </is>
      </c>
      <c r="P205" t="inlineStr">
        <is>
          <t>Q1</t>
        </is>
      </c>
      <c r="Q205">
        <v>2026</v>
      </c>
      <c r="V205">
        <f>SUM(R205:U205)</f>
      </c>
      <c r="X205" t="inlineStr">
        <is>
          <t>Rejeitado</t>
        </is>
      </c>
      <c r="AC205">
        <f>AB205/AA205</f>
      </c>
      <c r="AD205">
        <f>AB205/2*12</f>
      </c>
    </row>
    <row r="206">
      <c r="A206" t="inlineStr">
        <is>
          <t>Mixprice</t>
        </is>
      </c>
      <c r="B206" t="inlineStr">
        <is>
          <t>Foods</t>
        </is>
      </c>
      <c r="C206" t="inlineStr">
        <is>
          <t>Campanha</t>
        </is>
      </c>
      <c r="D206" t="inlineStr">
        <is>
          <t>X</t>
        </is>
      </c>
      <c r="J206">
        <f>COUNTA(D206:I206)</f>
      </c>
      <c r="K206" t="inlineStr">
        <is>
          <t>Projeto</t>
        </is>
      </c>
      <c r="L206" t="inlineStr">
        <is>
          <t>Orçamento</t>
        </is>
      </c>
      <c r="N206" t="inlineStr">
        <is>
          <t>2026-03-02</t>
        </is>
      </c>
      <c r="O206" t="inlineStr">
        <is>
          <t>Mar</t>
        </is>
      </c>
      <c r="P206" t="inlineStr">
        <is>
          <t>Q1</t>
        </is>
      </c>
      <c r="Q206">
        <v>2026</v>
      </c>
      <c r="V206">
        <f>SUM(R206:U206)</f>
      </c>
      <c r="X206" t="inlineStr">
        <is>
          <t>Rejeitado</t>
        </is>
      </c>
      <c r="AC206">
        <f>AB206/AA206</f>
      </c>
      <c r="AD206">
        <f>AB206/2*12</f>
      </c>
    </row>
    <row r="207">
      <c r="A207" t="inlineStr">
        <is>
          <t>Lactalis Iberia</t>
        </is>
      </c>
      <c r="B207" t="inlineStr">
        <is>
          <t>Foods</t>
        </is>
      </c>
      <c r="C207" t="inlineStr">
        <is>
          <t>360</t>
        </is>
      </c>
      <c r="I207" t="inlineStr">
        <is>
          <t>X</t>
        </is>
      </c>
      <c r="J207">
        <f>COUNTA(D207:I207)</f>
      </c>
      <c r="K207" t="inlineStr">
        <is>
          <t>Fee</t>
        </is>
      </c>
      <c r="L207" t="inlineStr">
        <is>
          <t>Orçamento</t>
        </is>
      </c>
      <c r="N207" t="inlineStr">
        <is>
          <t>2026-03-03</t>
        </is>
      </c>
      <c r="O207" t="inlineStr">
        <is>
          <t>Mar</t>
        </is>
      </c>
      <c r="P207" t="inlineStr">
        <is>
          <t>Q1</t>
        </is>
      </c>
      <c r="Q207">
        <v>2026</v>
      </c>
      <c r="R207">
        <v>1</v>
      </c>
      <c r="V207">
        <f>SUM(R207:U207)</f>
      </c>
      <c r="X207" t="inlineStr">
        <is>
          <t>Rejeitado</t>
        </is>
      </c>
      <c r="AC207">
        <f>AB207/AA207</f>
      </c>
      <c r="AD207">
        <f>AB207/2*12</f>
      </c>
    </row>
    <row r="208">
      <c r="A208" t="inlineStr">
        <is>
          <t>Girl Move Academy</t>
        </is>
      </c>
      <c r="B208" t="inlineStr">
        <is>
          <t>ONG</t>
        </is>
      </c>
      <c r="C208" t="inlineStr">
        <is>
          <t>Campanha</t>
        </is>
      </c>
      <c r="D208" t="inlineStr">
        <is>
          <t>X</t>
        </is>
      </c>
      <c r="J208">
        <f>COUNTA(D208:I208)</f>
      </c>
      <c r="K208" t="inlineStr">
        <is>
          <t>Projeto</t>
        </is>
      </c>
      <c r="L208" t="inlineStr">
        <is>
          <t>Credenciais</t>
        </is>
      </c>
      <c r="N208" t="inlineStr">
        <is>
          <t>2026-03-04</t>
        </is>
      </c>
      <c r="O208" t="inlineStr">
        <is>
          <t>Mar</t>
        </is>
      </c>
      <c r="P208" t="inlineStr">
        <is>
          <t>Q1</t>
        </is>
      </c>
      <c r="Q208">
        <v>2026</v>
      </c>
      <c r="R208">
        <v>1</v>
      </c>
      <c r="S208">
        <v>1</v>
      </c>
      <c r="V208">
        <f>SUM(R208:U208)</f>
      </c>
      <c r="X208" t="inlineStr">
        <is>
          <t>Rejeitado</t>
        </is>
      </c>
      <c r="AC208">
        <f>AB208/AA208</f>
      </c>
      <c r="AD208">
        <f>AB208/2*12</f>
      </c>
    </row>
    <row r="209">
      <c r="A209" t="inlineStr">
        <is>
          <t>CTESI</t>
        </is>
      </c>
      <c r="B209" t="inlineStr">
        <is>
          <t>Retalho Direto</t>
        </is>
      </c>
      <c r="C209" t="inlineStr">
        <is>
          <t>Social Media</t>
        </is>
      </c>
      <c r="F209" t="inlineStr">
        <is>
          <t>X</t>
        </is>
      </c>
      <c r="J209">
        <f>COUNTA(D209:I209)</f>
      </c>
      <c r="K209" t="inlineStr">
        <is>
          <t>Fee</t>
        </is>
      </c>
      <c r="L209" t="inlineStr">
        <is>
          <t>Orçamento</t>
        </is>
      </c>
      <c r="N209" t="inlineStr">
        <is>
          <t>2026-03-09</t>
        </is>
      </c>
      <c r="O209" t="inlineStr">
        <is>
          <t>Mar</t>
        </is>
      </c>
      <c r="P209" t="inlineStr">
        <is>
          <t>Q1</t>
        </is>
      </c>
      <c r="Q209">
        <v>2026</v>
      </c>
      <c r="V209">
        <f>SUM(R209:U209)</f>
      </c>
      <c r="X209" t="inlineStr">
        <is>
          <t>Rejeitado</t>
        </is>
      </c>
      <c r="AC209">
        <f>AB209/AA209</f>
      </c>
      <c r="AD209">
        <f>AB209/2*12</f>
      </c>
    </row>
    <row r="210">
      <c r="A210" t="inlineStr">
        <is>
          <t>Pollux</t>
        </is>
      </c>
      <c r="B210" t="inlineStr">
        <is>
          <t>Retalho Direto</t>
        </is>
      </c>
      <c r="C210" t="inlineStr">
        <is>
          <t>Digital Comms</t>
        </is>
      </c>
      <c r="F210" t="inlineStr">
        <is>
          <t>X</t>
        </is>
      </c>
      <c r="G210" t="inlineStr">
        <is>
          <t>X</t>
        </is>
      </c>
      <c r="H210" t="inlineStr">
        <is>
          <t>X</t>
        </is>
      </c>
      <c r="J210">
        <f>COUNTA(D210:I210)</f>
      </c>
      <c r="K210" t="inlineStr">
        <is>
          <t>Projeto</t>
        </is>
      </c>
      <c r="L210" t="inlineStr">
        <is>
          <t>Orçamento</t>
        </is>
      </c>
      <c r="N210" t="inlineStr">
        <is>
          <t>2026-03-13</t>
        </is>
      </c>
      <c r="O210" t="inlineStr">
        <is>
          <t>Mar</t>
        </is>
      </c>
      <c r="P210" t="inlineStr">
        <is>
          <t>Q1</t>
        </is>
      </c>
      <c r="Q210">
        <v>2026</v>
      </c>
      <c r="T210">
        <v>1</v>
      </c>
      <c r="V210">
        <f>SUM(R210:U210)</f>
      </c>
      <c r="X210" t="inlineStr">
        <is>
          <t>Rejeitado</t>
        </is>
      </c>
      <c r="AC210">
        <f>AB210/AA210</f>
      </c>
      <c r="AD210">
        <f>AB210/2*12</f>
      </c>
    </row>
    <row r="211">
      <c r="A211" t="inlineStr">
        <is>
          <t>AR Integrative Clinic</t>
        </is>
      </c>
      <c r="B211" t="inlineStr">
        <is>
          <t>Saúde</t>
        </is>
      </c>
      <c r="C211" t="inlineStr">
        <is>
          <t>SM e Perfomance</t>
        </is>
      </c>
      <c r="F211" t="inlineStr">
        <is>
          <t>X</t>
        </is>
      </c>
      <c r="J211">
        <f>COUNTA(D211:I211)</f>
      </c>
      <c r="K211" t="inlineStr">
        <is>
          <t>Fee</t>
        </is>
      </c>
      <c r="L211" t="inlineStr">
        <is>
          <t>Orçamento</t>
        </is>
      </c>
      <c r="N211" t="inlineStr">
        <is>
          <t>2026-03-18</t>
        </is>
      </c>
      <c r="O211" t="inlineStr">
        <is>
          <t>Mar</t>
        </is>
      </c>
      <c r="P211" t="inlineStr">
        <is>
          <t>Q1</t>
        </is>
      </c>
      <c r="Q211">
        <v>2026</v>
      </c>
      <c r="V211">
        <f>SUM(R211:U211)</f>
      </c>
      <c r="X211" t="inlineStr">
        <is>
          <t>Rejeitado</t>
        </is>
      </c>
      <c r="AC211">
        <f>AB211/AA211</f>
      </c>
      <c r="AD211">
        <f>AB211/2*12</f>
      </c>
    </row>
    <row r="212">
      <c r="A212" t="inlineStr">
        <is>
          <t>MO</t>
        </is>
      </c>
      <c r="B212" t="inlineStr">
        <is>
          <t>Retalho Direto</t>
        </is>
      </c>
      <c r="C212" t="inlineStr">
        <is>
          <t>Webseries</t>
        </is>
      </c>
      <c r="D212" t="inlineStr">
        <is>
          <t>X</t>
        </is>
      </c>
      <c r="F212" t="inlineStr">
        <is>
          <t>X</t>
        </is>
      </c>
      <c r="J212">
        <f>COUNTA(D212:I212)</f>
      </c>
      <c r="K212" t="inlineStr">
        <is>
          <t>Projeto</t>
        </is>
      </c>
      <c r="L212" t="inlineStr">
        <is>
          <t>Orçamento</t>
        </is>
      </c>
      <c r="M212">
        <v>13550.00</v>
      </c>
      <c r="N212" t="inlineStr">
        <is>
          <t>2026-03-24</t>
        </is>
      </c>
      <c r="O212" t="inlineStr">
        <is>
          <t>Mar</t>
        </is>
      </c>
      <c r="P212" t="inlineStr">
        <is>
          <t>Q1</t>
        </is>
      </c>
      <c r="Q212">
        <v>2026</v>
      </c>
      <c r="R212">
        <v>1</v>
      </c>
      <c r="S212">
        <v>1</v>
      </c>
      <c r="V212">
        <f>SUM(R212:U212)</f>
      </c>
      <c r="W212" t="inlineStr">
        <is>
          <t>10k Fee Criativa</t>
        </is>
      </c>
      <c r="X212" t="inlineStr">
        <is>
          <t>Ganho</t>
        </is>
      </c>
      <c r="AA212">
        <v>45000.00</v>
      </c>
      <c r="AB212">
        <v>14500.00</v>
      </c>
      <c r="AC212">
        <f>AB212/AA212</f>
      </c>
      <c r="AD212">
        <f>AB212/2*12</f>
      </c>
      <c r="AE212">
        <v>2</v>
      </c>
    </row>
    <row r="213">
      <c r="A213" t="inlineStr">
        <is>
          <t>F.DUARTE</t>
        </is>
      </c>
      <c r="B213" t="inlineStr">
        <is>
          <t>Indústria Alimentar</t>
        </is>
      </c>
      <c r="C213" t="inlineStr">
        <is>
          <t>Branding + Web</t>
        </is>
      </c>
      <c r="E213" t="inlineStr">
        <is>
          <t>X</t>
        </is>
      </c>
      <c r="G213" t="inlineStr">
        <is>
          <t>X</t>
        </is>
      </c>
      <c r="H213" t="inlineStr">
        <is>
          <t>X</t>
        </is>
      </c>
      <c r="J213">
        <f>COUNTA(D213:I213)</f>
      </c>
      <c r="K213" t="inlineStr">
        <is>
          <t>Projeto</t>
        </is>
      </c>
      <c r="M213">
        <v>41250.00</v>
      </c>
      <c r="N213" t="inlineStr">
        <is>
          <t>2026-03-29</t>
        </is>
      </c>
      <c r="O213" t="inlineStr">
        <is>
          <t>Mar</t>
        </is>
      </c>
      <c r="P213" t="inlineStr">
        <is>
          <t>Q1</t>
        </is>
      </c>
      <c r="Q213">
        <v>2026</v>
      </c>
      <c r="S213">
        <v>1</v>
      </c>
      <c r="T213">
        <v>1</v>
      </c>
      <c r="V213">
        <f>SUM(R213:U213)</f>
      </c>
      <c r="W213" t="inlineStr">
        <is>
          <t>Prop Vence. .10k</t>
        </is>
      </c>
      <c r="X213" t="inlineStr">
        <is>
          <t>Perdido</t>
        </is>
      </c>
      <c r="Y213" t="inlineStr">
        <is>
          <t>2026-05-04</t>
        </is>
      </c>
      <c r="Z213" t="inlineStr">
        <is>
          <t>FunnyHow (30k)</t>
        </is>
      </c>
      <c r="AC213">
        <f>AB213/AA213</f>
      </c>
      <c r="AD213">
        <f>AB213/2*12</f>
      </c>
    </row>
    <row r="214">
      <c r="A214" t="inlineStr">
        <is>
          <t>Grupo EDP</t>
        </is>
      </c>
      <c r="B214" t="inlineStr">
        <is>
          <t>Energia</t>
        </is>
      </c>
      <c r="C214" t="inlineStr">
        <is>
          <t>Content Digital</t>
        </is>
      </c>
      <c r="F214" t="inlineStr">
        <is>
          <t>X</t>
        </is>
      </c>
      <c r="G214" t="inlineStr">
        <is>
          <t>X</t>
        </is>
      </c>
      <c r="J214">
        <f>COUNTA(D214:I214)</f>
      </c>
      <c r="K214" t="inlineStr">
        <is>
          <t>Fee</t>
        </is>
      </c>
      <c r="L214" t="inlineStr">
        <is>
          <t>Criatividade</t>
        </is>
      </c>
      <c r="N214" t="inlineStr">
        <is>
          <t>2026-03-31</t>
        </is>
      </c>
      <c r="O214" t="inlineStr">
        <is>
          <t>Mar</t>
        </is>
      </c>
      <c r="P214" t="inlineStr">
        <is>
          <t>Q1</t>
        </is>
      </c>
      <c r="Q214">
        <v>2026</v>
      </c>
      <c r="R214">
        <v>1</v>
      </c>
      <c r="T214">
        <v>1</v>
      </c>
      <c r="V214">
        <f>SUM(R214:U214)</f>
      </c>
      <c r="X214" t="inlineStr">
        <is>
          <t>Rejeitado</t>
        </is>
      </c>
      <c r="AC214">
        <f>AB214/AA214</f>
      </c>
      <c r="AD214">
        <f>AB214/2*12</f>
      </c>
    </row>
    <row r="215">
      <c r="A215" t="inlineStr">
        <is>
          <t>NORFIN</t>
        </is>
      </c>
      <c r="B215" t="inlineStr">
        <is>
          <t>Imobiliário</t>
        </is>
      </c>
      <c r="C215" t="inlineStr">
        <is>
          <t>Branding</t>
        </is>
      </c>
      <c r="E215" t="inlineStr">
        <is>
          <t>X</t>
        </is>
      </c>
      <c r="H215" t="inlineStr">
        <is>
          <t>X</t>
        </is>
      </c>
      <c r="J215">
        <f>COUNTA(D215:I215)</f>
      </c>
      <c r="K215" t="inlineStr">
        <is>
          <t>Projeto</t>
        </is>
      </c>
      <c r="L215" t="inlineStr">
        <is>
          <t>Criatividade</t>
        </is>
      </c>
      <c r="N215" t="inlineStr">
        <is>
          <t>2026-03-15</t>
        </is>
      </c>
      <c r="O215" t="inlineStr">
        <is>
          <t>Mar</t>
        </is>
      </c>
      <c r="P215" t="inlineStr">
        <is>
          <t>Q1</t>
        </is>
      </c>
      <c r="Q215">
        <v>2026</v>
      </c>
      <c r="S215">
        <v>1</v>
      </c>
      <c r="T215">
        <v>1</v>
      </c>
      <c r="V215">
        <f>SUM(R215:U215)</f>
      </c>
      <c r="X215" t="inlineStr">
        <is>
          <t>Rejeitado</t>
        </is>
      </c>
      <c r="AC215">
        <f>AB215/AA215</f>
      </c>
      <c r="AD215">
        <f>AB215/2*12</f>
      </c>
    </row>
    <row r="216">
      <c r="A216" t="inlineStr">
        <is>
          <t>Sock Affairs</t>
        </is>
      </c>
      <c r="B216" t="inlineStr">
        <is>
          <t>Retalho Direto</t>
        </is>
      </c>
      <c r="C216" t="inlineStr">
        <is>
          <t>Social Media</t>
        </is>
      </c>
      <c r="F216" t="inlineStr">
        <is>
          <t>X</t>
        </is>
      </c>
      <c r="J216">
        <f>COUNTA(D216:I216)</f>
      </c>
      <c r="K216" t="inlineStr">
        <is>
          <t>Projeto</t>
        </is>
      </c>
      <c r="L216" t="inlineStr">
        <is>
          <t>Orçamento</t>
        </is>
      </c>
      <c r="N216" t="inlineStr">
        <is>
          <t>2026-03-25</t>
        </is>
      </c>
      <c r="O216" t="inlineStr">
        <is>
          <t>Mar</t>
        </is>
      </c>
      <c r="P216" t="inlineStr">
        <is>
          <t>Q1</t>
        </is>
      </c>
      <c r="Q216">
        <v>2026</v>
      </c>
      <c r="V216">
        <f>SUM(R216:U216)</f>
      </c>
      <c r="X216" t="inlineStr">
        <is>
          <t>Rejeitado</t>
        </is>
      </c>
      <c r="AC216">
        <f>AB216/AA216</f>
      </c>
      <c r="AD216">
        <f>AB216/2*12</f>
      </c>
    </row>
    <row r="217">
      <c r="A217" t="inlineStr">
        <is>
          <t>Ayvens</t>
        </is>
      </c>
      <c r="B217" t="inlineStr">
        <is>
          <t>Transportes</t>
        </is>
      </c>
      <c r="C217" t="inlineStr">
        <is>
          <t>Social Media</t>
        </is>
      </c>
      <c r="D217" t="inlineStr">
        <is>
          <t>X</t>
        </is>
      </c>
      <c r="J217">
        <f>COUNTA(D217:I217)</f>
      </c>
      <c r="K217" t="inlineStr">
        <is>
          <t>Projeto</t>
        </is>
      </c>
      <c r="L217" t="inlineStr">
        <is>
          <t>Criatividade</t>
        </is>
      </c>
      <c r="N217" t="inlineStr">
        <is>
          <t>2026-03-26</t>
        </is>
      </c>
      <c r="O217" t="inlineStr">
        <is>
          <t>Mar</t>
        </is>
      </c>
      <c r="P217" t="inlineStr">
        <is>
          <t>Q1</t>
        </is>
      </c>
      <c r="Q217">
        <v>2026</v>
      </c>
      <c r="R217">
        <v>1</v>
      </c>
      <c r="V217">
        <f>SUM(R217:U217)</f>
      </c>
      <c r="X217" t="inlineStr">
        <is>
          <t>Rejeitado</t>
        </is>
      </c>
      <c r="AC217">
        <f>AB217/AA217</f>
      </c>
      <c r="AD217">
        <f>AB217/2*12</f>
      </c>
    </row>
    <row r="218">
      <c r="A218" t="inlineStr">
        <is>
          <t>Agroges</t>
        </is>
      </c>
      <c r="B218" t="inlineStr">
        <is>
          <t>Institucional</t>
        </is>
      </c>
      <c r="C218" t="inlineStr">
        <is>
          <t>SM + Web</t>
        </is>
      </c>
      <c r="E218" t="inlineStr">
        <is>
          <t>X</t>
        </is>
      </c>
      <c r="F218" t="inlineStr">
        <is>
          <t>X</t>
        </is>
      </c>
      <c r="G218" t="inlineStr">
        <is>
          <t>X</t>
        </is>
      </c>
      <c r="J218">
        <f>COUNTA(D218:I218)</f>
      </c>
      <c r="K218" t="inlineStr">
        <is>
          <t>Projeto</t>
        </is>
      </c>
      <c r="L218" t="inlineStr">
        <is>
          <t>Criatividade</t>
        </is>
      </c>
      <c r="N218" t="inlineStr">
        <is>
          <t>2026-03-31</t>
        </is>
      </c>
      <c r="O218" t="inlineStr">
        <is>
          <t>Mar</t>
        </is>
      </c>
      <c r="P218" t="inlineStr">
        <is>
          <t>Q1</t>
        </is>
      </c>
      <c r="Q218">
        <v>2026</v>
      </c>
      <c r="U218">
        <v>1</v>
      </c>
      <c r="V218">
        <f>SUM(R218:U218)</f>
      </c>
      <c r="X218" t="inlineStr">
        <is>
          <t>Rejeitado</t>
        </is>
      </c>
      <c r="AC218">
        <f>AB218/AA218</f>
      </c>
      <c r="AD218">
        <f>AB218/2*12</f>
      </c>
    </row>
    <row r="219">
      <c r="A219" t="inlineStr">
        <is>
          <t>Raiz / Vitamina P</t>
        </is>
      </c>
      <c r="B219" t="inlineStr">
        <is>
          <t>Ensino</t>
        </is>
      </c>
      <c r="C219" t="inlineStr">
        <is>
          <t>SM + Web</t>
        </is>
      </c>
      <c r="F219" t="inlineStr">
        <is>
          <t>X</t>
        </is>
      </c>
      <c r="G219" t="inlineStr">
        <is>
          <t>X</t>
        </is>
      </c>
      <c r="J219">
        <f>COUNTA(D219:I219)</f>
      </c>
      <c r="K219" t="inlineStr">
        <is>
          <t>Fee</t>
        </is>
      </c>
      <c r="L219" t="inlineStr">
        <is>
          <t>Orçamento</t>
        </is>
      </c>
      <c r="N219" t="inlineStr">
        <is>
          <t>2026-04-09</t>
        </is>
      </c>
      <c r="O219" t="inlineStr">
        <is>
          <t>Abr</t>
        </is>
      </c>
      <c r="P219" t="inlineStr">
        <is>
          <t>Q2</t>
        </is>
      </c>
      <c r="Q219">
        <v>2026</v>
      </c>
      <c r="U219">
        <v>1</v>
      </c>
      <c r="V219">
        <f>SUM(R219:U219)</f>
      </c>
      <c r="X219" t="inlineStr">
        <is>
          <t>Rejeitado</t>
        </is>
      </c>
      <c r="AC219">
        <f>AB219/AA219</f>
      </c>
      <c r="AD219">
        <f>AB219/2*12</f>
      </c>
    </row>
    <row r="220">
      <c r="A220" t="inlineStr">
        <is>
          <t>Riberalves</t>
        </is>
      </c>
      <c r="B220" t="inlineStr">
        <is>
          <t>Retalho Direto</t>
        </is>
      </c>
      <c r="C220" t="inlineStr">
        <is>
          <t>Campanha</t>
        </is>
      </c>
      <c r="D220" t="inlineStr">
        <is>
          <t>X</t>
        </is>
      </c>
      <c r="F220" t="inlineStr">
        <is>
          <t>X</t>
        </is>
      </c>
      <c r="J220">
        <f>COUNTA(D220:I220)</f>
      </c>
      <c r="K220" t="inlineStr">
        <is>
          <t>Projeto</t>
        </is>
      </c>
      <c r="L220" t="inlineStr">
        <is>
          <t>Orçamento</t>
        </is>
      </c>
      <c r="N220" t="inlineStr">
        <is>
          <t>2026-04-09</t>
        </is>
      </c>
      <c r="O220" t="inlineStr">
        <is>
          <t>Abr</t>
        </is>
      </c>
      <c r="P220" t="inlineStr">
        <is>
          <t>Q2</t>
        </is>
      </c>
      <c r="Q220">
        <v>2026</v>
      </c>
      <c r="R220">
        <v>1</v>
      </c>
      <c r="S220">
        <v>1</v>
      </c>
      <c r="V220">
        <f>SUM(R220:U220)</f>
      </c>
      <c r="W220" t="inlineStr">
        <is>
          <t>6k para campanha??</t>
        </is>
      </c>
      <c r="X220" t="inlineStr">
        <is>
          <t>Rejeitado</t>
        </is>
      </c>
      <c r="AC220">
        <f>AB220/AA220</f>
      </c>
      <c r="AD220">
        <f>AB220/2*12</f>
      </c>
    </row>
    <row r="221">
      <c r="A221" t="inlineStr">
        <is>
          <t>SIVA</t>
        </is>
      </c>
      <c r="B221" t="inlineStr">
        <is>
          <t>Transportes</t>
        </is>
      </c>
      <c r="C221" t="inlineStr">
        <is>
          <t>360</t>
        </is>
      </c>
      <c r="G221" t="inlineStr">
        <is>
          <t>X</t>
        </is>
      </c>
      <c r="I221" t="inlineStr">
        <is>
          <t>X</t>
        </is>
      </c>
      <c r="J221">
        <f>COUNTA(D221:I221)</f>
      </c>
      <c r="K221" t="inlineStr">
        <is>
          <t>Fee</t>
        </is>
      </c>
      <c r="L221" t="inlineStr">
        <is>
          <t>Credenciais</t>
        </is>
      </c>
      <c r="N221" t="inlineStr">
        <is>
          <t>2026-04-09</t>
        </is>
      </c>
      <c r="O221" t="inlineStr">
        <is>
          <t>Abr</t>
        </is>
      </c>
      <c r="P221" t="inlineStr">
        <is>
          <t>Q2</t>
        </is>
      </c>
      <c r="Q221">
        <v>2026</v>
      </c>
      <c r="R221">
        <v>1</v>
      </c>
      <c r="S221">
        <v>1</v>
      </c>
      <c r="T221">
        <v>1</v>
      </c>
      <c r="V221">
        <f>SUM(R221:U221)</f>
      </c>
      <c r="X221" t="inlineStr">
        <is>
          <t>TBD</t>
        </is>
      </c>
      <c r="AC221">
        <f>AB221/AA221</f>
      </c>
      <c r="AD221">
        <f>AB221/2*12</f>
      </c>
    </row>
    <row r="222">
      <c r="A222" t="inlineStr">
        <is>
          <t>El Corte Inglês</t>
        </is>
      </c>
      <c r="B222" t="inlineStr">
        <is>
          <t>Retalho Direto</t>
        </is>
      </c>
      <c r="C222" t="inlineStr">
        <is>
          <t>Campanha</t>
        </is>
      </c>
      <c r="I222" t="inlineStr">
        <is>
          <t>X</t>
        </is>
      </c>
      <c r="J222">
        <f>COUNTA(D222:I222)</f>
      </c>
      <c r="K222" t="inlineStr">
        <is>
          <t>Projeto</t>
        </is>
      </c>
      <c r="L222" t="inlineStr">
        <is>
          <t>Criatividade</t>
        </is>
      </c>
      <c r="N222" t="inlineStr">
        <is>
          <t>2026-04-10</t>
        </is>
      </c>
      <c r="O222" t="inlineStr">
        <is>
          <t>Abr</t>
        </is>
      </c>
      <c r="P222" t="inlineStr">
        <is>
          <t>Q2</t>
        </is>
      </c>
      <c r="Q222">
        <v>2026</v>
      </c>
      <c r="R222">
        <v>1</v>
      </c>
      <c r="S222">
        <v>1</v>
      </c>
      <c r="V222">
        <f>SUM(R222:U222)</f>
      </c>
      <c r="W222" t="inlineStr">
        <is>
          <t>500€ Fee de Rejeição</t>
        </is>
      </c>
      <c r="X222" t="inlineStr">
        <is>
          <t>TBD</t>
        </is>
      </c>
      <c r="Y222" t="inlineStr">
        <is>
          <t>2026-04-21</t>
        </is>
      </c>
      <c r="AC222">
        <f>AB222/AA222</f>
      </c>
      <c r="AD222">
        <f>AB222/2*12</f>
      </c>
    </row>
    <row r="223">
      <c r="A223" t="inlineStr">
        <is>
          <t>Opticalia RIR</t>
        </is>
      </c>
      <c r="B223" t="inlineStr">
        <is>
          <t>Retalho Direto</t>
        </is>
      </c>
      <c r="C223" t="inlineStr">
        <is>
          <t>Produção</t>
        </is>
      </c>
      <c r="D223" t="inlineStr">
        <is>
          <t>X</t>
        </is>
      </c>
      <c r="J223">
        <f>COUNTA(D223:I223)</f>
      </c>
      <c r="K223" t="inlineStr">
        <is>
          <t>Projeto</t>
        </is>
      </c>
      <c r="L223" t="inlineStr">
        <is>
          <t>Orçamento</t>
        </is>
      </c>
      <c r="N223" t="inlineStr">
        <is>
          <t>2026-04-11</t>
        </is>
      </c>
      <c r="O223" t="inlineStr">
        <is>
          <t>Abr</t>
        </is>
      </c>
      <c r="P223" t="inlineStr">
        <is>
          <t>Q2</t>
        </is>
      </c>
      <c r="Q223">
        <v>2026</v>
      </c>
      <c r="R223">
        <v>1</v>
      </c>
      <c r="V223">
        <f>SUM(R223:U223)</f>
      </c>
      <c r="X223" t="inlineStr">
        <is>
          <t>Rejeitado</t>
        </is>
      </c>
      <c r="AC223">
        <f>AB223/AA223</f>
      </c>
      <c r="AD223">
        <f>AB223/2*12</f>
      </c>
    </row>
    <row r="224">
      <c r="A224" t="inlineStr">
        <is>
          <t>SFMS</t>
        </is>
      </c>
      <c r="B224" t="inlineStr">
        <is>
          <t>Institucional</t>
        </is>
      </c>
      <c r="C224" t="inlineStr">
        <is>
          <t>Design</t>
        </is>
      </c>
      <c r="H224" t="inlineStr">
        <is>
          <t>X</t>
        </is>
      </c>
      <c r="J224">
        <f>COUNTA(D224:I224)</f>
      </c>
      <c r="K224" t="inlineStr">
        <is>
          <t>Projeto</t>
        </is>
      </c>
      <c r="L224" t="inlineStr">
        <is>
          <t>Credenciais</t>
        </is>
      </c>
      <c r="M224">
        <v>13020.00</v>
      </c>
      <c r="N224" t="inlineStr">
        <is>
          <t>2026-04-14</t>
        </is>
      </c>
      <c r="O224" t="inlineStr">
        <is>
          <t>Abr</t>
        </is>
      </c>
      <c r="P224" t="inlineStr">
        <is>
          <t>Q2</t>
        </is>
      </c>
      <c r="Q224">
        <v>2026</v>
      </c>
      <c r="R224">
        <v>1</v>
      </c>
      <c r="T224">
        <v>1</v>
      </c>
      <c r="V224">
        <f>SUM(R224:U224)</f>
      </c>
      <c r="X224" t="inlineStr">
        <is>
          <t>Ganho</t>
        </is>
      </c>
      <c r="AA224">
        <v>13020.00</v>
      </c>
      <c r="AB224">
        <v>13020.00</v>
      </c>
      <c r="AC224">
        <f>AB224/AA224</f>
      </c>
      <c r="AD224">
        <f>AB224/2*12</f>
      </c>
      <c r="AE224">
        <v>3</v>
      </c>
    </row>
    <row r="225">
      <c r="A225" t="inlineStr">
        <is>
          <t>Fábrica dos Óculos</t>
        </is>
      </c>
      <c r="B225" t="inlineStr">
        <is>
          <t>Retalho Direto</t>
        </is>
      </c>
      <c r="C225" t="inlineStr">
        <is>
          <t>Social Media</t>
        </is>
      </c>
      <c r="F225" t="inlineStr">
        <is>
          <t>X</t>
        </is>
      </c>
      <c r="J225">
        <f>COUNTA(D225:I225)</f>
      </c>
      <c r="K225" t="inlineStr">
        <is>
          <t>Fee</t>
        </is>
      </c>
      <c r="L225" t="inlineStr">
        <is>
          <t>Orçamento</t>
        </is>
      </c>
      <c r="N225" t="inlineStr">
        <is>
          <t>2026-04-17</t>
        </is>
      </c>
      <c r="O225" t="inlineStr">
        <is>
          <t>Abr</t>
        </is>
      </c>
      <c r="P225" t="inlineStr">
        <is>
          <t>Q2</t>
        </is>
      </c>
      <c r="Q225">
        <v>2026</v>
      </c>
      <c r="T225">
        <v>1</v>
      </c>
      <c r="V225">
        <f>SUM(R225:U225)</f>
      </c>
      <c r="X225" t="inlineStr">
        <is>
          <t>Rejeitado</t>
        </is>
      </c>
      <c r="AC225">
        <f>AB225/AA225</f>
      </c>
      <c r="AD225">
        <f>AB225/2*12</f>
      </c>
    </row>
    <row r="226">
      <c r="A226" t="inlineStr">
        <is>
          <t>Nestúm</t>
        </is>
      </c>
      <c r="B226" t="inlineStr">
        <is>
          <t>Foods</t>
        </is>
      </c>
      <c r="C226" t="inlineStr">
        <is>
          <t>Branding</t>
        </is>
      </c>
      <c r="E226" t="inlineStr">
        <is>
          <t>X</t>
        </is>
      </c>
      <c r="H226" t="inlineStr">
        <is>
          <t>X</t>
        </is>
      </c>
      <c r="J226">
        <f>COUNTA(D226:I226)</f>
      </c>
      <c r="K226" t="inlineStr">
        <is>
          <t>Projeto</t>
        </is>
      </c>
      <c r="L226" t="inlineStr">
        <is>
          <t>Criatividade</t>
        </is>
      </c>
      <c r="N226" t="inlineStr">
        <is>
          <t>2026-04-20</t>
        </is>
      </c>
      <c r="O226" t="inlineStr">
        <is>
          <t>Abr</t>
        </is>
      </c>
      <c r="P226" t="inlineStr">
        <is>
          <t>Q2</t>
        </is>
      </c>
      <c r="Q226">
        <v>2026</v>
      </c>
      <c r="R226">
        <v>1</v>
      </c>
      <c r="S226">
        <v>1</v>
      </c>
      <c r="V226">
        <f>SUM(R226:U226)</f>
      </c>
      <c r="X226" t="inlineStr">
        <is>
          <t>TBD</t>
        </is>
      </c>
      <c r="AC226">
        <f>AB226/AA226</f>
      </c>
      <c r="AD226">
        <f>AB226/2*12</f>
      </c>
    </row>
    <row r="227">
      <c r="A227" t="inlineStr">
        <is>
          <t>Grupo 8</t>
        </is>
      </c>
      <c r="B227" t="inlineStr">
        <is>
          <t>Segurança</t>
        </is>
      </c>
      <c r="C227" t="inlineStr">
        <is>
          <t>Branding</t>
        </is>
      </c>
      <c r="E227" t="inlineStr">
        <is>
          <t>X</t>
        </is>
      </c>
      <c r="H227" t="inlineStr">
        <is>
          <t>X</t>
        </is>
      </c>
      <c r="J227">
        <f>COUNTA(D227:I227)</f>
      </c>
      <c r="K227" t="inlineStr">
        <is>
          <t>Projeto</t>
        </is>
      </c>
      <c r="L227" t="inlineStr">
        <is>
          <t>Criatividade</t>
        </is>
      </c>
      <c r="N227" t="inlineStr">
        <is>
          <t>2026-04-21</t>
        </is>
      </c>
      <c r="O227" t="inlineStr">
        <is>
          <t>Abr</t>
        </is>
      </c>
      <c r="P227" t="inlineStr">
        <is>
          <t>Q2</t>
        </is>
      </c>
      <c r="Q227">
        <v>2026</v>
      </c>
      <c r="R227">
        <v>1</v>
      </c>
      <c r="S227">
        <v>1</v>
      </c>
      <c r="V227">
        <f>SUM(R227:U227)</f>
      </c>
      <c r="X227" t="inlineStr">
        <is>
          <t>TBD</t>
        </is>
      </c>
      <c r="AC227">
        <f>AB227/AA227</f>
      </c>
      <c r="AD227">
        <f>AB227/2*12</f>
      </c>
    </row>
    <row r="228">
      <c r="A228" t="inlineStr">
        <is>
          <t>Unicef</t>
        </is>
      </c>
      <c r="B228" t="inlineStr">
        <is>
          <t>ONG</t>
        </is>
      </c>
      <c r="C228" t="inlineStr">
        <is>
          <t>Campanha</t>
        </is>
      </c>
      <c r="D228" t="inlineStr">
        <is>
          <t>X</t>
        </is>
      </c>
      <c r="J228">
        <f>COUNTA(D228:I228)</f>
      </c>
      <c r="K228" t="inlineStr">
        <is>
          <t>Projeto</t>
        </is>
      </c>
      <c r="L228" t="inlineStr">
        <is>
          <t>Criatividade</t>
        </is>
      </c>
      <c r="N228" t="inlineStr">
        <is>
          <t>2026-04-24</t>
        </is>
      </c>
      <c r="O228" t="inlineStr">
        <is>
          <t>Abr</t>
        </is>
      </c>
      <c r="P228" t="inlineStr">
        <is>
          <t>Q2</t>
        </is>
      </c>
      <c r="Q228">
        <v>2026</v>
      </c>
      <c r="R228">
        <v>1</v>
      </c>
      <c r="S228">
        <v>1</v>
      </c>
      <c r="V228">
        <f>SUM(R228:U228)</f>
      </c>
      <c r="X228" t="inlineStr">
        <is>
          <t>Rejeitado</t>
        </is>
      </c>
      <c r="AC228">
        <f>AB228/AA228</f>
      </c>
      <c r="AD228">
        <f>AB228/2*12</f>
      </c>
    </row>
    <row r="229">
      <c r="A229" t="inlineStr">
        <is>
          <t>ZPOS</t>
        </is>
      </c>
      <c r="B229" t="inlineStr">
        <is>
          <t>Software</t>
        </is>
      </c>
      <c r="C229" t="inlineStr">
        <is>
          <t>Social + Web</t>
        </is>
      </c>
      <c r="F229" t="inlineStr">
        <is>
          <t>X</t>
        </is>
      </c>
      <c r="G229" t="inlineStr">
        <is>
          <t>X</t>
        </is>
      </c>
      <c r="J229">
        <f>COUNTA(D229:I229)</f>
      </c>
      <c r="K229" t="inlineStr">
        <is>
          <t>Fee</t>
        </is>
      </c>
      <c r="L229" t="inlineStr">
        <is>
          <t>Orçamento</t>
        </is>
      </c>
      <c r="N229" t="inlineStr">
        <is>
          <t>2026-04-24</t>
        </is>
      </c>
      <c r="O229" t="inlineStr">
        <is>
          <t>Abr</t>
        </is>
      </c>
      <c r="P229" t="inlineStr">
        <is>
          <t>Q2</t>
        </is>
      </c>
      <c r="Q229">
        <v>2026</v>
      </c>
      <c r="V229">
        <f>SUM(R229:U229)</f>
      </c>
      <c r="X229" t="inlineStr">
        <is>
          <t>Rejeitado</t>
        </is>
      </c>
      <c r="AC229">
        <f>AB229/AA229</f>
      </c>
      <c r="AD229">
        <f>AB229/2*12</f>
      </c>
    </row>
    <row r="230">
      <c r="A230" t="inlineStr">
        <is>
          <t>Oasis Atlantico</t>
        </is>
      </c>
      <c r="B230" t="inlineStr">
        <is>
          <t>Turismo</t>
        </is>
      </c>
      <c r="C230" t="inlineStr">
        <is>
          <t>Social + Web</t>
        </is>
      </c>
      <c r="F230" t="inlineStr">
        <is>
          <t>X</t>
        </is>
      </c>
      <c r="G230" t="inlineStr">
        <is>
          <t>X</t>
        </is>
      </c>
      <c r="J230">
        <f>COUNTA(D230:I230)</f>
      </c>
      <c r="K230" t="inlineStr">
        <is>
          <t>Projeto</t>
        </is>
      </c>
      <c r="L230" t="inlineStr">
        <is>
          <t>Orçamento</t>
        </is>
      </c>
      <c r="N230" t="inlineStr">
        <is>
          <t>2026-04-28</t>
        </is>
      </c>
      <c r="O230" t="inlineStr">
        <is>
          <t>Abr</t>
        </is>
      </c>
      <c r="P230" t="inlineStr">
        <is>
          <t>Q2</t>
        </is>
      </c>
      <c r="Q230">
        <v>2026</v>
      </c>
      <c r="V230">
        <f>SUM(R230:U230)</f>
      </c>
      <c r="X230" t="inlineStr">
        <is>
          <t>Rejeitado</t>
        </is>
      </c>
      <c r="AC230">
        <f>AB230/AA230</f>
      </c>
      <c r="AD230">
        <f>AB230/2*12</f>
      </c>
    </row>
    <row r="231">
      <c r="A231" t="inlineStr">
        <is>
          <t>MT Consulting</t>
        </is>
      </c>
      <c r="B231" t="inlineStr">
        <is>
          <t>Consultoria</t>
        </is>
      </c>
      <c r="C231" t="inlineStr">
        <is>
          <t>Social Media</t>
        </is>
      </c>
      <c r="F231" t="inlineStr">
        <is>
          <t>X</t>
        </is>
      </c>
      <c r="J231">
        <f>COUNTA(D231:I231)</f>
      </c>
      <c r="K231" t="inlineStr">
        <is>
          <t>Fee</t>
        </is>
      </c>
      <c r="L231" t="inlineStr">
        <is>
          <t>Orçamento</t>
        </is>
      </c>
      <c r="N231" t="inlineStr">
        <is>
          <t>2026-05-04</t>
        </is>
      </c>
      <c r="O231" t="inlineStr">
        <is>
          <t>Mai</t>
        </is>
      </c>
      <c r="P231" t="inlineStr">
        <is>
          <t>Q2</t>
        </is>
      </c>
      <c r="Q231">
        <v>2026</v>
      </c>
      <c r="V231">
        <f>SUM(R231:U231)</f>
      </c>
      <c r="X231" t="inlineStr">
        <is>
          <t>Rejeitado</t>
        </is>
      </c>
      <c r="AC231">
        <f>AB231/AA231</f>
      </c>
      <c r="AD231">
        <f>AB231/2*12</f>
      </c>
    </row>
    <row r="232">
      <c r="A232" t="inlineStr">
        <is>
          <t>GPA Advogados</t>
        </is>
      </c>
      <c r="B232" t="inlineStr">
        <is>
          <t>Advogados</t>
        </is>
      </c>
      <c r="C232" t="inlineStr">
        <is>
          <t>Comms</t>
        </is>
      </c>
      <c r="E232" t="inlineStr">
        <is>
          <t>X</t>
        </is>
      </c>
      <c r="J232">
        <f>COUNTA(D232:I232)</f>
      </c>
      <c r="K232" t="inlineStr">
        <is>
          <t>Projeto</t>
        </is>
      </c>
      <c r="L232" t="inlineStr">
        <is>
          <t>Orçamento</t>
        </is>
      </c>
      <c r="N232" t="inlineStr">
        <is>
          <t>2026-05-01</t>
        </is>
      </c>
      <c r="O232" t="inlineStr">
        <is>
          <t>Mai</t>
        </is>
      </c>
      <c r="P232" t="inlineStr">
        <is>
          <t>Q2</t>
        </is>
      </c>
      <c r="Q232">
        <v>2026</v>
      </c>
      <c r="V232">
        <f>SUM(R232:U232)</f>
      </c>
      <c r="X232" t="inlineStr">
        <is>
          <t>Rejeitado</t>
        </is>
      </c>
      <c r="AC232">
        <f>AB232/AA232</f>
      </c>
      <c r="AD232">
        <f>AB232/2*12</f>
      </c>
    </row>
  </sheetData>
  <autoFilter ref="A2:AE223" xr:uid="{07ACFA31-227E-9747-89A1-A0D405DE7706}">
    <sortState xmlns:xlrd2="http://schemas.microsoft.com/office/spreadsheetml/2017/richdata2" ref="A3:AE86">
      <sortCondition ref="Q2:Q86"/>
    </sortState>
  </autoFilter>
  <mergeCells count="1">
    <mergeCell ref="AH4:AM4"/>
  </mergeCells>
  <conditionalFormatting sqref="V4">
    <cfRule type="cellIs" dxfId="182" priority="468" operator="equal">
      <formula>0</formula>
    </cfRule>
  </conditionalFormatting>
  <conditionalFormatting sqref="W3:W4 Z5 Z84 W85:W93 W95:W100 X100:X127 Z101 AA105:AE113">
    <cfRule type="cellIs" dxfId="181" priority="492" operator="equal">
      <formula>"Rejeitado"</formula>
    </cfRule>
    <cfRule type="containsText" dxfId="180" priority="491" operator="containsText" text="Per">
      <formula>NOT(ISERROR(SEARCH(("Per"),(W3))))</formula>
    </cfRule>
  </conditionalFormatting>
  <conditionalFormatting sqref="W3:W4 Z5 Z84 W85:W93 W95:W100 Z101 X100:X127 AA105:AE113">
    <cfRule type="containsText" dxfId="179" priority="490" operator="containsText" text="Ganho">
      <formula>NOT(ISERROR(SEARCH(("Ganho"),(W3))))</formula>
    </cfRule>
  </conditionalFormatting>
  <conditionalFormatting sqref="W3:W4 Z5 Z84 W85:W93 W95:W100 Z101">
    <cfRule type="containsText" dxfId="178" priority="489" operator="containsText" text="TBD">
      <formula>NOT(ISERROR(SEARCH(("TBD"),(W3))))</formula>
    </cfRule>
  </conditionalFormatting>
  <conditionalFormatting sqref="W6:W9 AA114:AC114 X124:X131">
    <cfRule type="containsText" dxfId="177" priority="460" operator="containsText" text="Ganho">
      <formula>NOT(ISERROR(SEARCH(("Ganho"),(W6))))</formula>
    </cfRule>
    <cfRule type="containsText" dxfId="176" priority="461" operator="containsText" text="Per">
      <formula>NOT(ISERROR(SEARCH(("Per"),(W6))))</formula>
    </cfRule>
    <cfRule type="cellIs" dxfId="175" priority="462" operator="equal">
      <formula>"Rejeitado"</formula>
    </cfRule>
  </conditionalFormatting>
  <conditionalFormatting sqref="W6:W9 AA114:AC114">
    <cfRule type="containsText" dxfId="174" priority="459" operator="containsText" text="TBD">
      <formula>NOT(ISERROR(SEARCH(("TBD"),(W6))))</formula>
    </cfRule>
  </conditionalFormatting>
  <conditionalFormatting sqref="W11:W83 M14:M15 AA22:AE84 AA85 W102:W170 W171:X192 W193 W194:X206">
    <cfRule type="containsText" dxfId="173" priority="464" operator="containsText" text="Ganho">
      <formula>NOT(ISERROR(SEARCH(("Ganho"),(M11))))</formula>
    </cfRule>
    <cfRule type="cellIs" dxfId="172" priority="466" operator="equal">
      <formula>"Rejeitado"</formula>
    </cfRule>
    <cfRule type="containsText" dxfId="171" priority="465" operator="containsText" text="Per">
      <formula>NOT(ISERROR(SEARCH(("Per"),(M11))))</formula>
    </cfRule>
  </conditionalFormatting>
  <conditionalFormatting sqref="W171:X192 W194:X206 W11:W83 M14:M15 AA22:AE84 AA85 W102:W170 W193">
    <cfRule type="containsText" dxfId="170" priority="463" operator="containsText" text="TBD">
      <formula>NOT(ISERROR(SEARCH(("TBD"),(M11))))</formula>
    </cfRule>
  </conditionalFormatting>
  <conditionalFormatting sqref="W207:X290">
    <cfRule type="containsText" dxfId="169" priority="21" operator="containsText" text="TBD">
      <formula>NOT(ISERROR(SEARCH(("TBD"),(W207))))</formula>
    </cfRule>
    <cfRule type="containsText" dxfId="168" priority="22" operator="containsText" text="Ganho">
      <formula>NOT(ISERROR(SEARCH(("Ganho"),(W207))))</formula>
    </cfRule>
    <cfRule type="containsText" dxfId="167" priority="23" operator="containsText" text="Per">
      <formula>NOT(ISERROR(SEARCH(("Per"),(W207))))</formula>
    </cfRule>
    <cfRule type="cellIs" dxfId="166" priority="24" operator="equal">
      <formula>"Rejeitado"</formula>
    </cfRule>
  </conditionalFormatting>
  <conditionalFormatting sqref="X3">
    <cfRule type="cellIs" dxfId="165" priority="493" operator="equal">
      <formula>$AK$6</formula>
    </cfRule>
    <cfRule type="cellIs" dxfId="164" priority="467" operator="equal">
      <formula>$AK$6</formula>
    </cfRule>
    <cfRule type="containsText" dxfId="163" priority="477" operator="containsText" text="TBD">
      <formula>NOT(ISERROR(SEARCH(("TBD"),(X3))))</formula>
    </cfRule>
    <cfRule type="containsText" dxfId="162" priority="478" operator="containsText" text="Ganho">
      <formula>NOT(ISERROR(SEARCH(("Ganho"),(X3))))</formula>
    </cfRule>
    <cfRule type="containsText" dxfId="161" priority="479" operator="containsText" text="Per">
      <formula>NOT(ISERROR(SEARCH(("Per"),(X3))))</formula>
    </cfRule>
    <cfRule type="cellIs" dxfId="160" priority="480" operator="equal">
      <formula>"Rejeitado"</formula>
    </cfRule>
  </conditionalFormatting>
  <conditionalFormatting sqref="X4:X88">
    <cfRule type="cellIs" dxfId="159" priority="450" operator="equal">
      <formula>"Rejeitado"</formula>
    </cfRule>
    <cfRule type="containsText" dxfId="158" priority="449" operator="containsText" text="Per">
      <formula>NOT(ISERROR(SEARCH(("Per"),(X4))))</formula>
    </cfRule>
    <cfRule type="containsText" dxfId="157" priority="448" operator="containsText" text="Ganho">
      <formula>NOT(ISERROR(SEARCH(("Ganho"),(X4))))</formula>
    </cfRule>
    <cfRule type="containsText" dxfId="156" priority="447" operator="containsText" text="TBD">
      <formula>NOT(ISERROR(SEARCH(("TBD"),(X4))))</formula>
    </cfRule>
  </conditionalFormatting>
  <conditionalFormatting sqref="X74:X75">
    <cfRule type="containsText" dxfId="155" priority="398" operator="containsText" text="TBD">
      <formula>NOT(ISERROR(SEARCH(("TBD"),(X74))))</formula>
    </cfRule>
    <cfRule type="cellIs" dxfId="154" priority="401" operator="equal">
      <formula>"Rejeitado"</formula>
    </cfRule>
    <cfRule type="containsText" dxfId="153" priority="400" operator="containsText" text="Per">
      <formula>NOT(ISERROR(SEARCH(("Per"),(X74))))</formula>
    </cfRule>
    <cfRule type="containsText" dxfId="152" priority="399" operator="containsText" text="Ganho">
      <formula>NOT(ISERROR(SEARCH(("Ganho"),(X74))))</formula>
    </cfRule>
  </conditionalFormatting>
  <conditionalFormatting sqref="X77">
    <cfRule type="containsText" dxfId="151" priority="390" operator="containsText" text="TBD">
      <formula>NOT(ISERROR(SEARCH(("TBD"),(X77))))</formula>
    </cfRule>
    <cfRule type="containsText" dxfId="150" priority="391" operator="containsText" text="Ganho">
      <formula>NOT(ISERROR(SEARCH(("Ganho"),(X77))))</formula>
    </cfRule>
    <cfRule type="containsText" dxfId="149" priority="392" operator="containsText" text="Per">
      <formula>NOT(ISERROR(SEARCH(("Per"),(X77))))</formula>
    </cfRule>
    <cfRule type="cellIs" dxfId="148" priority="393" operator="equal">
      <formula>"Rejeitado"</formula>
    </cfRule>
  </conditionalFormatting>
  <conditionalFormatting sqref="X80:X83 X87:X98 X103:X104">
    <cfRule type="containsText" dxfId="147" priority="445" operator="containsText" text="Per">
      <formula>NOT(ISERROR(SEARCH(("Per"),(X80))))</formula>
    </cfRule>
    <cfRule type="containsText" dxfId="146" priority="444" operator="containsText" text="Ganho">
      <formula>NOT(ISERROR(SEARCH(("Ganho"),(X80))))</formula>
    </cfRule>
    <cfRule type="cellIs" dxfId="145" priority="446" operator="equal">
      <formula>"Rejeitado"</formula>
    </cfRule>
  </conditionalFormatting>
  <conditionalFormatting sqref="X83">
    <cfRule type="containsText" dxfId="144" priority="395" operator="containsText" text="Ganho">
      <formula>NOT(ISERROR(SEARCH(("Ganho"),(X83))))</formula>
    </cfRule>
    <cfRule type="cellIs" dxfId="143" priority="397" operator="equal">
      <formula>"Rejeitado"</formula>
    </cfRule>
    <cfRule type="containsText" dxfId="142" priority="396" operator="containsText" text="Per">
      <formula>NOT(ISERROR(SEARCH(("Per"),(X83))))</formula>
    </cfRule>
    <cfRule type="containsText" dxfId="141" priority="394" operator="containsText" text="TBD">
      <formula>NOT(ISERROR(SEARCH(("TBD"),(X83))))</formula>
    </cfRule>
  </conditionalFormatting>
  <conditionalFormatting sqref="X87:X98 X80:X83 X100:X131 AA105:AE113">
    <cfRule type="containsText" dxfId="140" priority="443" operator="containsText" text="TBD">
      <formula>NOT(ISERROR(SEARCH(("TBD"),(X80))))</formula>
    </cfRule>
  </conditionalFormatting>
  <conditionalFormatting sqref="X89:X91">
    <cfRule type="containsText" dxfId="139" priority="406" operator="containsText" text="TBD">
      <formula>NOT(ISERROR(SEARCH(("TBD"),(X89))))</formula>
    </cfRule>
    <cfRule type="containsText" dxfId="138" priority="407" operator="containsText" text="Ganho">
      <formula>NOT(ISERROR(SEARCH(("Ganho"),(X89))))</formula>
    </cfRule>
    <cfRule type="containsText" dxfId="137" priority="408" operator="containsText" text="Per">
      <formula>NOT(ISERROR(SEARCH(("Per"),(X89))))</formula>
    </cfRule>
    <cfRule type="cellIs" dxfId="136" priority="409" operator="equal">
      <formula>"Rejeitado"</formula>
    </cfRule>
  </conditionalFormatting>
  <conditionalFormatting sqref="X90:X101">
    <cfRule type="cellIs" dxfId="135" priority="357" operator="equal">
      <formula>"Rejeitado"</formula>
    </cfRule>
    <cfRule type="containsText" dxfId="134" priority="356" operator="containsText" text="Per">
      <formula>NOT(ISERROR(SEARCH(("Per"),(X90))))</formula>
    </cfRule>
    <cfRule type="containsText" dxfId="133" priority="355" operator="containsText" text="Ganho">
      <formula>NOT(ISERROR(SEARCH(("Ganho"),(X90))))</formula>
    </cfRule>
    <cfRule type="containsText" dxfId="132" priority="354" operator="containsText" text="TBD">
      <formula>NOT(ISERROR(SEARCH(("TBD"),(X90))))</formula>
    </cfRule>
  </conditionalFormatting>
  <conditionalFormatting sqref="X106:X111">
    <cfRule type="cellIs" dxfId="131" priority="361" operator="equal">
      <formula>"Rejeitado"</formula>
    </cfRule>
    <cfRule type="containsText" dxfId="130" priority="360" operator="containsText" text="Per">
      <formula>NOT(ISERROR(SEARCH(("Per"),(X106))))</formula>
    </cfRule>
    <cfRule type="containsText" dxfId="129" priority="359" operator="containsText" text="Ganho">
      <formula>NOT(ISERROR(SEARCH(("Ganho"),(X106))))</formula>
    </cfRule>
    <cfRule type="containsText" dxfId="128" priority="358" operator="containsText" text="TBD">
      <formula>NOT(ISERROR(SEARCH(("TBD"),(X106))))</formula>
    </cfRule>
  </conditionalFormatting>
  <conditionalFormatting sqref="X113">
    <cfRule type="cellIs" dxfId="127" priority="349" operator="equal">
      <formula>"Rejeitado"</formula>
    </cfRule>
    <cfRule type="containsText" dxfId="126" priority="348" operator="containsText" text="Per">
      <formula>NOT(ISERROR(SEARCH(("Per"),(X113))))</formula>
    </cfRule>
    <cfRule type="containsText" dxfId="125" priority="347" operator="containsText" text="Ganho">
      <formula>NOT(ISERROR(SEARCH(("Ganho"),(X113))))</formula>
    </cfRule>
    <cfRule type="containsText" dxfId="124" priority="346" operator="containsText" text="TBD">
      <formula>NOT(ISERROR(SEARCH(("TBD"),(X113))))</formula>
    </cfRule>
  </conditionalFormatting>
  <conditionalFormatting sqref="X116:X122">
    <cfRule type="containsText" dxfId="123" priority="327" operator="containsText" text="Ganho">
      <formula>NOT(ISERROR(SEARCH(("Ganho"),(X116))))</formula>
    </cfRule>
    <cfRule type="containsText" dxfId="122" priority="328" operator="containsText" text="Per">
      <formula>NOT(ISERROR(SEARCH(("Per"),(X116))))</formula>
    </cfRule>
    <cfRule type="cellIs" dxfId="121" priority="329" operator="equal">
      <formula>"Rejeitado"</formula>
    </cfRule>
    <cfRule type="containsText" dxfId="120" priority="326" operator="containsText" text="TBD">
      <formula>NOT(ISERROR(SEARCH(("TBD"),(X116))))</formula>
    </cfRule>
  </conditionalFormatting>
  <conditionalFormatting sqref="X128">
    <cfRule type="cellIs" dxfId="119" priority="305" operator="equal">
      <formula>"Rejeitado"</formula>
    </cfRule>
    <cfRule type="containsText" dxfId="118" priority="304" operator="containsText" text="Per">
      <formula>NOT(ISERROR(SEARCH(("Per"),(X128))))</formula>
    </cfRule>
    <cfRule type="containsText" dxfId="117" priority="303" operator="containsText" text="Ganho">
      <formula>NOT(ISERROR(SEARCH(("Ganho"),(X128))))</formula>
    </cfRule>
    <cfRule type="containsText" dxfId="116" priority="302" operator="containsText" text="TBD">
      <formula>NOT(ISERROR(SEARCH(("TBD"),(X128))))</formula>
    </cfRule>
  </conditionalFormatting>
  <conditionalFormatting sqref="X131:X136">
    <cfRule type="cellIs" dxfId="115" priority="289" operator="equal">
      <formula>"Rejeitado"</formula>
    </cfRule>
    <cfRule type="containsText" dxfId="114" priority="288" operator="containsText" text="Per">
      <formula>NOT(ISERROR(SEARCH(("Per"),(X131))))</formula>
    </cfRule>
    <cfRule type="containsText" dxfId="113" priority="287" operator="containsText" text="Ganho">
      <formula>NOT(ISERROR(SEARCH(("Ganho"),(X131))))</formula>
    </cfRule>
    <cfRule type="containsText" dxfId="112" priority="286" operator="containsText" text="TBD">
      <formula>NOT(ISERROR(SEARCH(("TBD"),(X131))))</formula>
    </cfRule>
  </conditionalFormatting>
  <conditionalFormatting sqref="X132:X133">
    <cfRule type="cellIs" dxfId="111" priority="285" operator="equal">
      <formula>"Rejeitado"</formula>
    </cfRule>
    <cfRule type="containsText" dxfId="110" priority="284" operator="containsText" text="Per">
      <formula>NOT(ISERROR(SEARCH(("Per"),(X132))))</formula>
    </cfRule>
    <cfRule type="containsText" dxfId="109" priority="283" operator="containsText" text="Ganho">
      <formula>NOT(ISERROR(SEARCH(("Ganho"),(X132))))</formula>
    </cfRule>
    <cfRule type="containsText" dxfId="108" priority="282" operator="containsText" text="TBD">
      <formula>NOT(ISERROR(SEARCH(("TBD"),(X132))))</formula>
    </cfRule>
  </conditionalFormatting>
  <conditionalFormatting sqref="X134:X136">
    <cfRule type="cellIs" dxfId="107" priority="297" operator="equal">
      <formula>"Rejeitado"</formula>
    </cfRule>
    <cfRule type="containsText" dxfId="106" priority="296" operator="containsText" text="Per">
      <formula>NOT(ISERROR(SEARCH(("Per"),(X134))))</formula>
    </cfRule>
    <cfRule type="containsText" dxfId="105" priority="295" operator="containsText" text="Ganho">
      <formula>NOT(ISERROR(SEARCH(("Ganho"),(X134))))</formula>
    </cfRule>
    <cfRule type="containsText" dxfId="104" priority="294" operator="containsText" text="TBD">
      <formula>NOT(ISERROR(SEARCH(("TBD"),(X134))))</formula>
    </cfRule>
  </conditionalFormatting>
  <conditionalFormatting sqref="X137:X140">
    <cfRule type="cellIs" dxfId="103" priority="277" operator="equal">
      <formula>"Rejeitado"</formula>
    </cfRule>
    <cfRule type="containsText" dxfId="102" priority="276" operator="containsText" text="Per">
      <formula>NOT(ISERROR(SEARCH(("Per"),(X137))))</formula>
    </cfRule>
    <cfRule type="containsText" dxfId="101" priority="275" operator="containsText" text="Ganho">
      <formula>NOT(ISERROR(SEARCH(("Ganho"),(X137))))</formula>
    </cfRule>
    <cfRule type="containsText" dxfId="100" priority="274" operator="containsText" text="TBD">
      <formula>NOT(ISERROR(SEARCH(("TBD"),(X137))))</formula>
    </cfRule>
  </conditionalFormatting>
  <conditionalFormatting sqref="X138:X139">
    <cfRule type="containsText" dxfId="99" priority="271" operator="containsText" text="Ganho">
      <formula>NOT(ISERROR(SEARCH(("Ganho"),(X138))))</formula>
    </cfRule>
    <cfRule type="containsText" dxfId="98" priority="270" operator="containsText" text="TBD">
      <formula>NOT(ISERROR(SEARCH(("TBD"),(X138))))</formula>
    </cfRule>
    <cfRule type="containsText" dxfId="97" priority="272" operator="containsText" text="Per">
      <formula>NOT(ISERROR(SEARCH(("Per"),(X138))))</formula>
    </cfRule>
    <cfRule type="cellIs" dxfId="96" priority="273" operator="equal">
      <formula>"Rejeitado"</formula>
    </cfRule>
  </conditionalFormatting>
  <conditionalFormatting sqref="X141">
    <cfRule type="containsText" dxfId="95" priority="267" operator="containsText" text="Ganho">
      <formula>NOT(ISERROR(SEARCH(("Ganho"),(X141))))</formula>
    </cfRule>
    <cfRule type="containsText" dxfId="94" priority="268" operator="containsText" text="Per">
      <formula>NOT(ISERROR(SEARCH(("Per"),(X141))))</formula>
    </cfRule>
    <cfRule type="cellIs" dxfId="93" priority="269" operator="equal">
      <formula>"Rejeitado"</formula>
    </cfRule>
    <cfRule type="containsText" dxfId="92" priority="266" operator="containsText" text="TBD">
      <formula>NOT(ISERROR(SEARCH(("TBD"),(X141))))</formula>
    </cfRule>
  </conditionalFormatting>
  <conditionalFormatting sqref="X141:X149">
    <cfRule type="cellIs" dxfId="91" priority="240" operator="equal">
      <formula>"Rejeitado"</formula>
    </cfRule>
    <cfRule type="containsText" dxfId="90" priority="239" operator="containsText" text="Per">
      <formula>NOT(ISERROR(SEARCH(("Per"),(X141))))</formula>
    </cfRule>
    <cfRule type="containsText" dxfId="89" priority="238" operator="containsText" text="Ganho">
      <formula>NOT(ISERROR(SEARCH(("Ganho"),(X141))))</formula>
    </cfRule>
    <cfRule type="containsText" dxfId="88" priority="237" operator="containsText" text="TBD">
      <formula>NOT(ISERROR(SEARCH(("TBD"),(X141))))</formula>
    </cfRule>
  </conditionalFormatting>
  <conditionalFormatting sqref="X142:X153">
    <cfRule type="cellIs" dxfId="87" priority="216" operator="equal">
      <formula>"Rejeitado"</formula>
    </cfRule>
    <cfRule type="containsText" dxfId="86" priority="215" operator="containsText" text="Per">
      <formula>NOT(ISERROR(SEARCH(("Per"),(X142))))</formula>
    </cfRule>
    <cfRule type="containsText" dxfId="85" priority="214" operator="containsText" text="Ganho">
      <formula>NOT(ISERROR(SEARCH(("Ganho"),(X142))))</formula>
    </cfRule>
    <cfRule type="containsText" dxfId="84" priority="213" operator="containsText" text="TBD">
      <formula>NOT(ISERROR(SEARCH(("TBD"),(X142))))</formula>
    </cfRule>
  </conditionalFormatting>
  <conditionalFormatting sqref="X152:X163">
    <cfRule type="cellIs" dxfId="83" priority="180" operator="equal">
      <formula>"Rejeitado"</formula>
    </cfRule>
    <cfRule type="containsText" dxfId="82" priority="177" operator="containsText" text="TBD">
      <formula>NOT(ISERROR(SEARCH(("TBD"),(X152))))</formula>
    </cfRule>
    <cfRule type="containsText" dxfId="81" priority="178" operator="containsText" text="Ganho">
      <formula>NOT(ISERROR(SEARCH(("Ganho"),(X152))))</formula>
    </cfRule>
    <cfRule type="containsText" dxfId="80" priority="179" operator="containsText" text="Per">
      <formula>NOT(ISERROR(SEARCH(("Per"),(X152))))</formula>
    </cfRule>
  </conditionalFormatting>
  <conditionalFormatting sqref="X154:X167">
    <cfRule type="containsText" dxfId="79" priority="157" operator="containsText" text="TBD">
      <formula>NOT(ISERROR(SEARCH(("TBD"),(X154))))</formula>
    </cfRule>
    <cfRule type="cellIs" dxfId="78" priority="160" operator="equal">
      <formula>"Rejeitado"</formula>
    </cfRule>
    <cfRule type="containsText" dxfId="77" priority="159" operator="containsText" text="Per">
      <formula>NOT(ISERROR(SEARCH(("Per"),(X154))))</formula>
    </cfRule>
    <cfRule type="containsText" dxfId="76" priority="158" operator="containsText" text="Ganho">
      <formula>NOT(ISERROR(SEARCH(("Ganho"),(X154))))</formula>
    </cfRule>
  </conditionalFormatting>
  <conditionalFormatting sqref="X164:X169">
    <cfRule type="containsText" dxfId="75" priority="149" operator="containsText" text="TBD">
      <formula>NOT(ISERROR(SEARCH(("TBD"),(X164))))</formula>
    </cfRule>
    <cfRule type="containsText" dxfId="74" priority="150" operator="containsText" text="Ganho">
      <formula>NOT(ISERROR(SEARCH(("Ganho"),(X164))))</formula>
    </cfRule>
    <cfRule type="containsText" dxfId="73" priority="151" operator="containsText" text="Per">
      <formula>NOT(ISERROR(SEARCH(("Per"),(X164))))</formula>
    </cfRule>
    <cfRule type="cellIs" dxfId="72" priority="152" operator="equal">
      <formula>"Rejeitado"</formula>
    </cfRule>
  </conditionalFormatting>
  <conditionalFormatting sqref="X168:X170">
    <cfRule type="containsText" dxfId="71" priority="143" operator="containsText" text="Per">
      <formula>NOT(ISERROR(SEARCH(("Per"),(X168))))</formula>
    </cfRule>
    <cfRule type="containsText" dxfId="70" priority="142" operator="containsText" text="Ganho">
      <formula>NOT(ISERROR(SEARCH(("Ganho"),(X168))))</formula>
    </cfRule>
    <cfRule type="containsText" dxfId="69" priority="141" operator="containsText" text="TBD">
      <formula>NOT(ISERROR(SEARCH(("TBD"),(X168))))</formula>
    </cfRule>
    <cfRule type="cellIs" dxfId="68" priority="144" operator="equal">
      <formula>"Rejeitado"</formula>
    </cfRule>
  </conditionalFormatting>
  <conditionalFormatting sqref="X170:X175">
    <cfRule type="containsText" dxfId="67" priority="125" operator="containsText" text="TBD">
      <formula>NOT(ISERROR(SEARCH(("TBD"),(X170))))</formula>
    </cfRule>
    <cfRule type="cellIs" dxfId="66" priority="128" operator="equal">
      <formula>"Rejeitado"</formula>
    </cfRule>
    <cfRule type="containsText" dxfId="65" priority="127" operator="containsText" text="Per">
      <formula>NOT(ISERROR(SEARCH(("Per"),(X170))))</formula>
    </cfRule>
    <cfRule type="containsText" dxfId="64" priority="126" operator="containsText" text="Ganho">
      <formula>NOT(ISERROR(SEARCH(("Ganho"),(X170))))</formula>
    </cfRule>
  </conditionalFormatting>
  <conditionalFormatting sqref="X178:X179">
    <cfRule type="containsText" dxfId="63" priority="123" operator="containsText" text="Per">
      <formula>NOT(ISERROR(SEARCH(("Per"),(X178))))</formula>
    </cfRule>
    <cfRule type="containsText" dxfId="62" priority="122" operator="containsText" text="Ganho">
      <formula>NOT(ISERROR(SEARCH(("Ganho"),(X178))))</formula>
    </cfRule>
    <cfRule type="containsText" dxfId="61" priority="121" operator="containsText" text="TBD">
      <formula>NOT(ISERROR(SEARCH(("TBD"),(X178))))</formula>
    </cfRule>
    <cfRule type="cellIs" dxfId="60" priority="124" operator="equal">
      <formula>"Rejeitado"</formula>
    </cfRule>
  </conditionalFormatting>
  <conditionalFormatting sqref="X181:X201">
    <cfRule type="cellIs" dxfId="59" priority="56" operator="equal">
      <formula>"Rejeitado"</formula>
    </cfRule>
    <cfRule type="containsText" dxfId="58" priority="55" operator="containsText" text="Per">
      <formula>NOT(ISERROR(SEARCH(("Per"),(X181))))</formula>
    </cfRule>
    <cfRule type="containsText" dxfId="57" priority="54" operator="containsText" text="Ganho">
      <formula>NOT(ISERROR(SEARCH(("Ganho"),(X181))))</formula>
    </cfRule>
    <cfRule type="containsText" dxfId="56" priority="53" operator="containsText" text="TBD">
      <formula>NOT(ISERROR(SEARCH(("TBD"),(X181))))</formula>
    </cfRule>
  </conditionalFormatting>
  <conditionalFormatting sqref="X203">
    <cfRule type="containsText" dxfId="55" priority="65" operator="containsText" text="TBD">
      <formula>NOT(ISERROR(SEARCH(("TBD"),(X203))))</formula>
    </cfRule>
    <cfRule type="cellIs" dxfId="54" priority="68" operator="equal">
      <formula>"Rejeitado"</formula>
    </cfRule>
    <cfRule type="containsText" dxfId="53" priority="67" operator="containsText" text="Per">
      <formula>NOT(ISERROR(SEARCH(("Per"),(X203))))</formula>
    </cfRule>
    <cfRule type="containsText" dxfId="52" priority="66" operator="containsText" text="Ganho">
      <formula>NOT(ISERROR(SEARCH(("Ganho"),(X203))))</formula>
    </cfRule>
  </conditionalFormatting>
  <conditionalFormatting sqref="AA86:AC86 AA87:AE87 AA89:AE103 AB104:AC104">
    <cfRule type="cellIs" dxfId="51" priority="434" operator="equal">
      <formula>"Rejeitado"</formula>
    </cfRule>
    <cfRule type="containsText" dxfId="50" priority="433" operator="containsText" text="Per">
      <formula>NOT(ISERROR(SEARCH(("Per"),(AA86))))</formula>
    </cfRule>
    <cfRule type="containsText" dxfId="49" priority="432" operator="containsText" text="Ganho">
      <formula>NOT(ISERROR(SEARCH(("Ganho"),(AA86))))</formula>
    </cfRule>
    <cfRule type="containsText" dxfId="48" priority="431" operator="containsText" text="TBD">
      <formula>NOT(ISERROR(SEARCH(("TBD"),(AA86))))</formula>
    </cfRule>
  </conditionalFormatting>
  <conditionalFormatting sqref="AA3:AD10 AA11:AE13 AA14:AD14 AA15:AE15 AA16:AD16 AA17:AE17 AA18:AD18 AA19:AE20 AA21:AD21">
    <cfRule type="cellIs" dxfId="47" priority="442" operator="equal">
      <formula>"Rejeitado"</formula>
    </cfRule>
    <cfRule type="containsText" dxfId="46" priority="441" operator="containsText" text="Per">
      <formula>NOT(ISERROR(SEARCH(("Per"),(AA3))))</formula>
    </cfRule>
    <cfRule type="containsText" dxfId="45" priority="440" operator="containsText" text="Ganho">
      <formula>NOT(ISERROR(SEARCH(("Ganho"),(AA3))))</formula>
    </cfRule>
    <cfRule type="containsText" dxfId="44" priority="439" operator="containsText" text="TBD">
      <formula>NOT(ISERROR(SEARCH(("TBD"),(AA3))))</formula>
    </cfRule>
  </conditionalFormatting>
  <conditionalFormatting sqref="AA150:AD151">
    <cfRule type="containsText" dxfId="43" priority="201" operator="containsText" text="TBD">
      <formula>NOT(ISERROR(SEARCH(("TBD"),(AA150))))</formula>
    </cfRule>
    <cfRule type="containsText" dxfId="42" priority="202" operator="containsText" text="Ganho">
      <formula>NOT(ISERROR(SEARCH(("Ganho"),(AA150))))</formula>
    </cfRule>
    <cfRule type="containsText" dxfId="41" priority="203" operator="containsText" text="Per">
      <formula>NOT(ISERROR(SEARCH(("Per"),(AA150))))</formula>
    </cfRule>
    <cfRule type="cellIs" dxfId="40" priority="204" operator="equal">
      <formula>"Rejeitado"</formula>
    </cfRule>
  </conditionalFormatting>
  <conditionalFormatting sqref="AA213:AD213">
    <cfRule type="containsText" dxfId="39" priority="9" operator="containsText" text="TBD">
      <formula>NOT(ISERROR(SEARCH(("TBD"),(AA213))))</formula>
    </cfRule>
    <cfRule type="containsText" dxfId="38" priority="10" operator="containsText" text="Ganho">
      <formula>NOT(ISERROR(SEARCH(("Ganho"),(AA213))))</formula>
    </cfRule>
    <cfRule type="containsText" dxfId="37" priority="11" operator="containsText" text="Per">
      <formula>NOT(ISERROR(SEARCH(("Per"),(AA213))))</formula>
    </cfRule>
    <cfRule type="cellIs" dxfId="36" priority="12" operator="equal">
      <formula>"Rejeitado"</formula>
    </cfRule>
  </conditionalFormatting>
  <conditionalFormatting sqref="AA115:AE149">
    <cfRule type="containsText" dxfId="35" priority="105" operator="containsText" text="TBD">
      <formula>NOT(ISERROR(SEARCH(("TBD"),(AA115))))</formula>
    </cfRule>
    <cfRule type="containsText" dxfId="34" priority="106" operator="containsText" text="Ganho">
      <formula>NOT(ISERROR(SEARCH(("Ganho"),(AA115))))</formula>
    </cfRule>
    <cfRule type="containsText" dxfId="33" priority="107" operator="containsText" text="Per">
      <formula>NOT(ISERROR(SEARCH(("Per"),(AA115))))</formula>
    </cfRule>
    <cfRule type="cellIs" dxfId="32" priority="108" operator="equal">
      <formula>"Rejeitado"</formula>
    </cfRule>
  </conditionalFormatting>
  <conditionalFormatting sqref="AA152:AE192">
    <cfRule type="containsText" dxfId="31" priority="85" operator="containsText" text="TBD">
      <formula>NOT(ISERROR(SEARCH(("TBD"),(AA152))))</formula>
    </cfRule>
    <cfRule type="containsText" dxfId="30" priority="86" operator="containsText" text="Ganho">
      <formula>NOT(ISERROR(SEARCH(("Ganho"),(AA152))))</formula>
    </cfRule>
    <cfRule type="containsText" dxfId="29" priority="87" operator="containsText" text="Per">
      <formula>NOT(ISERROR(SEARCH(("Per"),(AA152))))</formula>
    </cfRule>
    <cfRule type="cellIs" dxfId="28" priority="88" operator="equal">
      <formula>"Rejeitado"</formula>
    </cfRule>
  </conditionalFormatting>
  <conditionalFormatting sqref="AA194:AE212">
    <cfRule type="containsText" dxfId="27" priority="17" operator="containsText" text="TBD">
      <formula>NOT(ISERROR(SEARCH(("TBD"),(AA194))))</formula>
    </cfRule>
    <cfRule type="containsText" dxfId="26" priority="18" operator="containsText" text="Ganho">
      <formula>NOT(ISERROR(SEARCH(("Ganho"),(AA194))))</formula>
    </cfRule>
    <cfRule type="containsText" dxfId="25" priority="19" operator="containsText" text="Per">
      <formula>NOT(ISERROR(SEARCH(("Per"),(AA194))))</formula>
    </cfRule>
    <cfRule type="cellIs" dxfId="24" priority="20" operator="equal">
      <formula>"Rejeitado"</formula>
    </cfRule>
  </conditionalFormatting>
  <conditionalFormatting sqref="AA214:AE224 AA226:AE290">
    <cfRule type="cellIs" dxfId="23" priority="28" operator="equal">
      <formula>"Rejeitado"</formula>
    </cfRule>
    <cfRule type="containsText" dxfId="22" priority="25" operator="containsText" text="TBD">
      <formula>NOT(ISERROR(SEARCH(("TBD"),(AA214))))</formula>
    </cfRule>
    <cfRule type="containsText" dxfId="21" priority="26" operator="containsText" text="Ganho">
      <formula>NOT(ISERROR(SEARCH(("Ganho"),(AA214))))</formula>
    </cfRule>
    <cfRule type="containsText" dxfId="20" priority="27" operator="containsText" text="Per">
      <formula>NOT(ISERROR(SEARCH(("Per"),(AA214))))</formula>
    </cfRule>
  </conditionalFormatting>
  <conditionalFormatting sqref="AC193:AD193">
    <cfRule type="cellIs" dxfId="19" priority="60" operator="equal">
      <formula>"Rejeitado"</formula>
    </cfRule>
    <cfRule type="containsText" dxfId="18" priority="57" operator="containsText" text="TBD">
      <formula>NOT(ISERROR(SEARCH(("TBD"),(AC193))))</formula>
    </cfRule>
    <cfRule type="containsText" dxfId="17" priority="58" operator="containsText" text="Ganho">
      <formula>NOT(ISERROR(SEARCH(("Ganho"),(AC193))))</formula>
    </cfRule>
    <cfRule type="containsText" dxfId="16" priority="59" operator="containsText" text="Per">
      <formula>NOT(ISERROR(SEARCH(("Per"),(AC193))))</formula>
    </cfRule>
  </conditionalFormatting>
  <conditionalFormatting sqref="AC85:AE85">
    <cfRule type="cellIs" dxfId="15" priority="168" operator="equal">
      <formula>"Rejeitado"</formula>
    </cfRule>
    <cfRule type="containsText" dxfId="14" priority="167" operator="containsText" text="Per">
      <formula>NOT(ISERROR(SEARCH(("Per"),(AC85))))</formula>
    </cfRule>
    <cfRule type="containsText" dxfId="13" priority="166" operator="containsText" text="Ganho">
      <formula>NOT(ISERROR(SEARCH(("Ganho"),(AC85))))</formula>
    </cfRule>
    <cfRule type="containsText" dxfId="12" priority="165" operator="containsText" text="TBD">
      <formula>NOT(ISERROR(SEARCH(("TBD"),(AC85))))</formula>
    </cfRule>
  </conditionalFormatting>
  <conditionalFormatting sqref="AK6:AK7">
    <cfRule type="containsText" dxfId="11" priority="45" operator="containsText" text="TBD">
      <formula>NOT(ISERROR(SEARCH(("TBD"),(AK6))))</formula>
    </cfRule>
    <cfRule type="containsText" dxfId="10" priority="47" operator="containsText" text="Per">
      <formula>NOT(ISERROR(SEARCH(("Per"),(AK6))))</formula>
    </cfRule>
    <cfRule type="cellIs" dxfId="9" priority="48" operator="equal">
      <formula>"Rejeitado"</formula>
    </cfRule>
    <cfRule type="containsText" dxfId="8" priority="46" operator="containsText" text="Ganho">
      <formula>NOT(ISERROR(SEARCH(("Ganho"),(AK6))))</formula>
    </cfRule>
  </conditionalFormatting>
  <conditionalFormatting sqref="AC225">
    <cfRule type="containsText" dxfId="6" priority="5" operator="containsText" text="TBD">
      <formula>NOT(ISERROR(SEARCH(("TBD"),(AC225))))</formula>
    </cfRule>
    <cfRule type="containsText" dxfId="5" priority="6" operator="containsText" text="Ganho">
      <formula>NOT(ISERROR(SEARCH(("Ganho"),(AC225))))</formula>
    </cfRule>
    <cfRule type="containsText" dxfId="4" priority="7" operator="containsText" text="Per">
      <formula>NOT(ISERROR(SEARCH(("Per"),(AC225))))</formula>
    </cfRule>
    <cfRule type="cellIs" dxfId="7" priority="8" operator="equal">
      <formula>"Rejeitado"</formula>
    </cfRule>
  </conditionalFormatting>
  <conditionalFormatting sqref="AD225">
    <cfRule type="containsText" dxfId="3" priority="1" operator="containsText" text="TBD">
      <formula>NOT(ISERROR(SEARCH(("TBD"),(AD225))))</formula>
    </cfRule>
    <cfRule type="containsText" dxfId="2" priority="2" operator="containsText" text="Ganho">
      <formula>NOT(ISERROR(SEARCH(("Ganho"),(AD225))))</formula>
    </cfRule>
    <cfRule type="containsText" dxfId="1" priority="3" operator="containsText" text="Per">
      <formula>NOT(ISERROR(SEARCH(("Per"),(AD225))))</formula>
    </cfRule>
    <cfRule type="cellIs" dxfId="0" priority="4" operator="equal">
      <formula>"Rejeitado"</formula>
    </cfRule>
  </conditionalFormatting>
  <dataValidations count="5">
    <dataValidation type="list" allowBlank="1" showErrorMessage="1" sqref="U3:U5" xr:uid="{4E0E8B6E-D774-594E-BCAA-4667190B78E8}">
      <formula1>$T$3:$T$5</formula1>
    </dataValidation>
    <dataValidation type="list" allowBlank="1" showErrorMessage="1" sqref="U73:U74 U6:U9 U64:U68 U25:U27 U71 U43:U45 U31 U58:U59 U39:U41 U52 U49 U54 U56 U79:U85 U76:U77" xr:uid="{45B63F24-519C-5F40-820F-5595B654B978}">
      <formula1>$N$8:$N$10</formula1>
    </dataValidation>
    <dataValidation type="list" allowBlank="1" showInputMessage="1" showErrorMessage="1" sqref="AK6:AK7 X3:X290" xr:uid="{66DBBB6D-ED05-D94B-B67C-0A4A31F0D702}">
      <formula1>$AK$6:$AK$9</formula1>
    </dataValidation>
    <dataValidation type="list" allowBlank="1" showInputMessage="1" showErrorMessage="1" sqref="L3:L290" xr:uid="{98EBBCD5-E59C-4F4A-86F1-1BC442405DE7}">
      <formula1>$AJ$6:$AJ$9</formula1>
    </dataValidation>
    <dataValidation type="list" allowBlank="1" showInputMessage="1" showErrorMessage="1" sqref="K3:K290" xr:uid="{400B6232-0BB2-F74B-9228-10EA786C9238}">
      <formula1>$AI$6:$AI$7</formula1>
    </dataValidation>
  </dataValidation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4FF0F-752F-C04A-93A8-8647410BEADF}">
  <sheetPr codeName="Sheet6"/>
  <dimension ref="B5:V53"/>
  <sheetViews>
    <sheetView showGridLines="0" zoomScale="110" zoomScaleNormal="110" workbookViewId="0">
      <selection activeCell="D30" sqref="D30"/>
    </sheetView>
  </sheetViews>
  <sheetFormatPr baseColWidth="10" defaultColWidth="11" defaultRowHeight="16"/>
  <cols>
    <col min="1" max="1" width="3.83203125" customWidth="1"/>
    <col min="2" max="2" width="13.1640625" customWidth="1"/>
    <col min="5" max="5" width="14.33203125" customWidth="1"/>
    <col min="6" max="6" width="13" customWidth="1"/>
    <col min="7" max="7" width="13.6640625" customWidth="1"/>
    <col min="14" max="14" width="9" customWidth="1"/>
    <col min="21" max="21" width="13.33203125" customWidth="1"/>
    <col min="23" max="23" width="16.83203125" customWidth="1"/>
  </cols>
  <sheetData>
    <row r="5" spans="2:22" ht="16" customHeight="1">
      <c r="B5" s="331" t="s">
        <v>644</v>
      </c>
      <c r="C5" s="331"/>
      <c r="D5" s="331"/>
      <c r="E5" s="331"/>
      <c r="F5" s="331"/>
      <c r="G5" s="331"/>
      <c r="H5" s="331"/>
      <c r="I5" s="331"/>
      <c r="J5" s="331"/>
      <c r="K5" s="212"/>
    </row>
    <row r="6" spans="2:22" ht="16" customHeight="1">
      <c r="B6" s="331"/>
      <c r="C6" s="331"/>
      <c r="D6" s="331"/>
      <c r="E6" s="331"/>
      <c r="F6" s="331"/>
      <c r="G6" s="331"/>
      <c r="H6" s="331"/>
      <c r="I6" s="331"/>
      <c r="J6" s="331"/>
      <c r="K6" s="212"/>
    </row>
    <row r="7" spans="2:22" ht="16" customHeight="1">
      <c r="B7" s="331"/>
      <c r="C7" s="331"/>
      <c r="D7" s="331"/>
      <c r="E7" s="331"/>
      <c r="F7" s="331"/>
      <c r="G7" s="331"/>
      <c r="H7" s="331"/>
      <c r="I7" s="331"/>
      <c r="J7" s="331"/>
      <c r="K7" s="212"/>
    </row>
    <row r="9" spans="2:22" ht="17" customHeight="1">
      <c r="B9" s="226">
        <v>2024</v>
      </c>
      <c r="C9" s="223" t="s">
        <v>60</v>
      </c>
      <c r="D9" s="223" t="s">
        <v>50</v>
      </c>
      <c r="E9" s="223" t="s">
        <v>301</v>
      </c>
      <c r="F9" s="223" t="s">
        <v>645</v>
      </c>
      <c r="G9" s="223" t="s">
        <v>309</v>
      </c>
      <c r="H9" s="223" t="s">
        <v>54</v>
      </c>
      <c r="I9" s="223" t="s">
        <v>646</v>
      </c>
      <c r="J9" s="223" t="s">
        <v>647</v>
      </c>
      <c r="K9" s="238" t="s">
        <v>25</v>
      </c>
      <c r="L9" s="238" t="s">
        <v>32</v>
      </c>
      <c r="M9" s="238" t="s">
        <v>20</v>
      </c>
      <c r="N9" s="238" t="s">
        <v>315</v>
      </c>
      <c r="O9" s="238" t="s">
        <v>28</v>
      </c>
      <c r="P9" s="223" t="s">
        <v>648</v>
      </c>
      <c r="Q9" s="223" t="s">
        <v>649</v>
      </c>
      <c r="R9" s="238" t="s">
        <v>650</v>
      </c>
      <c r="S9" s="238" t="s">
        <v>651</v>
      </c>
      <c r="T9" s="238" t="s">
        <v>652</v>
      </c>
      <c r="U9" s="238" t="s">
        <v>653</v>
      </c>
      <c r="V9" s="238" t="s">
        <v>654</v>
      </c>
    </row>
    <row r="10" spans="2:22" ht="21" customHeight="1">
      <c r="B10" s="229" t="s">
        <v>655</v>
      </c>
      <c r="C10" s="230">
        <f>COUNTIF('Base de Dados'!Q:Q,"2024")</f>
        <v>79</v>
      </c>
      <c r="D10" s="230">
        <f>C10-E10</f>
        <v>60</v>
      </c>
      <c r="E10" s="230">
        <f>COUNTIFS('Base de Dados'!X:X,'Base de Dados'!AK9,'Base de Dados'!Q:Q,B9)</f>
        <v>19</v>
      </c>
      <c r="F10" s="230">
        <f>COUNTIFS('Base de Dados'!$X:$X,'Base de Dados'!$AK8,'Base de Dados'!$Q:$Q,$B9)</f>
        <v>0</v>
      </c>
      <c r="G10" s="230">
        <f>COUNTIFS('Base de Dados'!X:X,'Base de Dados'!AK6,'Base de Dados'!Q:Q,B9)</f>
        <v>17</v>
      </c>
      <c r="H10" s="230">
        <f>COUNTIFS('Base de Dados'!X:X,'Base de Dados'!AK7,'Base de Dados'!Q:Q,B9)</f>
        <v>43</v>
      </c>
      <c r="I10" s="231">
        <f>G10/(G10+H10)</f>
        <v>0.28333333333333333</v>
      </c>
      <c r="J10" s="231">
        <f>E10/C10</f>
        <v>0.24050632911392406</v>
      </c>
      <c r="K10" s="232">
        <f>COUNTIFS('Base de Dados'!L:L,'Base de Cálculo'!K9,'Base de Dados'!Q:Q,B$9)</f>
        <v>57</v>
      </c>
      <c r="L10" s="232">
        <f>COUNTIFS('Base de Dados'!L:L,'Base de Cálculo'!L9,'Base de Dados'!Q:Q,B$9)</f>
        <v>5</v>
      </c>
      <c r="M10" s="232">
        <f>COUNTIFS('Base de Dados'!L:L,'Base de Cálculo'!M9,'Base de Dados'!Q:Q,B$9)</f>
        <v>17</v>
      </c>
      <c r="N10" s="233">
        <f>COUNTIFS('Base de Dados'!K:K,'Base de Cálculo'!$N$9,'Base de Dados'!Q:Q,'Base de Cálculo'!$B$9)</f>
        <v>52</v>
      </c>
      <c r="O10" s="233">
        <f>COUNTIFS('Base de Dados'!K:K,'Base de Cálculo'!O9,'Base de Dados'!Q:Q,'Base de Cálculo'!B9)</f>
        <v>27</v>
      </c>
      <c r="P10" s="233">
        <f>COUNTIFS('Base de Dados'!$V:$V,"&gt;=2",'Base de Dados'!$Q:$Q,'Base de Cálculo'!$B9,'Base de Dados'!$X:$X,"&lt;&gt;Rejeitado")</f>
        <v>35</v>
      </c>
      <c r="Q10" s="233">
        <f>COUNTIFS('Base de Dados'!$X:$X,"&lt;&gt;Rejeitado",'Base de Dados'!$Q:$Q,'Base de Cálculo'!$B9,'Base de Dados'!$V:$V,"&lt;2")</f>
        <v>25</v>
      </c>
      <c r="R10" s="233">
        <f>COUNTIFS('Base de Dados'!$AE:$AE,"1",'Base de Dados'!$Q:$Q,'Base de Cálculo'!$B$9)</f>
        <v>2</v>
      </c>
      <c r="S10" s="233">
        <f>COUNTIFS('Base de Dados'!$AE:$AE,"2",'Base de Dados'!$Q:$Q,'Base de Cálculo'!$B$9)</f>
        <v>8</v>
      </c>
      <c r="T10" s="233">
        <f>COUNTIFS('Base de Dados'!$AE:$AE,"3",'Base de Dados'!$Q:$Q,'Base de Cálculo'!$B$9)</f>
        <v>7</v>
      </c>
      <c r="U10" s="259">
        <f>SUMIFS('Base de Dados'!$M:$M,'Base de Dados'!$X:$X,'Base de Dados'!$AK6,'Base de Dados'!$Q:$Q,'Base de Cálculo'!$B9)</f>
        <v>569629.71</v>
      </c>
      <c r="V10" s="264">
        <f>U10/G10</f>
        <v>33507.629999999997</v>
      </c>
    </row>
    <row r="11" spans="2:22" ht="21" customHeight="1">
      <c r="B11" s="216" t="s">
        <v>27</v>
      </c>
      <c r="C11" s="222">
        <f>COUNTIFS('Base de Dados'!D:D,"X",'Base de Dados'!Q:Q,'Base de Cálculo'!$B$9)</f>
        <v>17</v>
      </c>
      <c r="D11" s="223">
        <f t="shared" ref="D11:D12" si="0">C11-E11</f>
        <v>12</v>
      </c>
      <c r="E11" s="223">
        <f>COUNTIFS('Base de Dados'!$X:$X,'Base de Dados'!$AK9,'Base de Dados'!$Q:$Q,$B9,'Base de Dados'!$D:$D,"x")</f>
        <v>5</v>
      </c>
      <c r="F11" s="223">
        <f>COUNTIFS('Base de Dados'!$X:$X,'Base de Dados'!$AK8,'Base de Dados'!$Q:$Q,$B9,'Base de Dados'!$D:$D,"x")</f>
        <v>0</v>
      </c>
      <c r="G11" s="223">
        <f>COUNTIFS('Base de Dados'!$D:$D,"X",'Base de Dados'!$Q:$Q,'Base de Cálculo'!$B9,'Base de Dados'!$X:$X,'Base de Dados'!$AK6)</f>
        <v>4</v>
      </c>
      <c r="H11" s="223">
        <f>COUNTIFS('Base de Dados'!D:D,"X",'Base de Dados'!Q:Q,'Base de Cálculo'!$B$9,'Base de Dados'!X:X,'Base de Dados'!AK7)</f>
        <v>8</v>
      </c>
      <c r="I11" s="231">
        <f t="shared" ref="I11:I17" si="1">G11/(G11+H11)</f>
        <v>0.33333333333333331</v>
      </c>
      <c r="J11" s="227">
        <f>E11/C11</f>
        <v>0.29411764705882354</v>
      </c>
      <c r="K11">
        <f>COUNTIFS('Base de Dados'!L:L,'Base de Cálculo'!K9,'Base de Dados'!Q:Q,B$9,'Base de Dados'!$D:$D,"x")</f>
        <v>8</v>
      </c>
      <c r="L11">
        <f>COUNTIFS('Base de Dados'!L:L,'Base de Cálculo'!L9,'Base de Dados'!Q:Q,B$9,'Base de Dados'!$D:$D,"x")</f>
        <v>0</v>
      </c>
      <c r="M11">
        <f>COUNTIFS('Base de Dados'!L:L,'Base de Cálculo'!M9,'Base de Dados'!Q:Q,B$9,'Base de Dados'!$D:$D,"x")</f>
        <v>9</v>
      </c>
      <c r="N11">
        <f>COUNTIFS('Base de Dados'!K:K,'Base de Cálculo'!N$9,'Base de Dados'!Q:Q,'Base de Cálculo'!$B$9,'Base de Dados'!$D:$D,"x")</f>
        <v>15</v>
      </c>
      <c r="O11">
        <f>COUNTIFS('Base de Dados'!$K:$K,'Base de Cálculo'!O$9,'Base de Dados'!$Q:$Q,'Base de Cálculo'!$B$9,'Base de Dados'!$D:$D,"x")</f>
        <v>2</v>
      </c>
      <c r="P11">
        <f>COUNTIFS('Base de Dados'!$V:$V,"&gt;=2",'Base de Dados'!$Q:$Q,'Base de Cálculo'!$B9,'Base de Dados'!$X:$X,"&lt;&gt;Rejeitado",'Base de Dados'!D:D,"X")</f>
        <v>9</v>
      </c>
      <c r="Q11">
        <f>COUNTIFS('Base de Dados'!$V:$V,"&lt;2",'Base de Dados'!$Q:$Q,'Base de Cálculo'!$B9,'Base de Dados'!$X:$X,"&lt;&gt;Rejeitado",'Base de Dados'!D:D,"X")</f>
        <v>3</v>
      </c>
      <c r="R11">
        <f>COUNTIFS('Base de Dados'!$AE:$AE,"1",'Base de Dados'!$Q:$Q,'Base de Cálculo'!$B$9,'Base de Dados'!$D:$D,"X")</f>
        <v>0</v>
      </c>
      <c r="S11">
        <f>COUNTIFS('Base de Dados'!$AE:$AE,"2",'Base de Dados'!$Q:$Q,'Base de Cálculo'!$B$9,'Base de Dados'!$D:$D,"X")</f>
        <v>3</v>
      </c>
      <c r="T11">
        <f>COUNTIFS('Base de Dados'!$AE:$AE,"3",'Base de Dados'!$Q:$Q,'Base de Cálculo'!$B$9,'Base de Dados'!$D:$D,"X")</f>
        <v>1</v>
      </c>
    </row>
    <row r="12" spans="2:22" ht="21" customHeight="1">
      <c r="B12" s="216" t="s">
        <v>32</v>
      </c>
      <c r="C12" s="222">
        <f>COUNTIFS('Base de Dados'!E:E,"X",'Base de Dados'!Q:Q,'Base de Cálculo'!$B$9)</f>
        <v>2</v>
      </c>
      <c r="D12" s="223">
        <f t="shared" si="0"/>
        <v>2</v>
      </c>
      <c r="E12" s="223">
        <f>COUNTIFS('Base de Dados'!$X:$X,'Base de Dados'!$AK9,'Base de Dados'!$Q:$Q,$B9,'Base de Dados'!$E:$E,"x")</f>
        <v>0</v>
      </c>
      <c r="F12" s="223">
        <f>COUNTIFS('Base de Dados'!$X:$X,'Base de Dados'!$AK8,'Base de Dados'!$Q:$Q,$B9,'Base de Dados'!$E:$E,"x")</f>
        <v>0</v>
      </c>
      <c r="G12" s="223">
        <f>COUNTIFS('Base de Dados'!E:E,"X",'Base de Dados'!Q:Q,'Base de Cálculo'!$B$9,'Base de Dados'!X:X,'Base de Dados'!$AK$6)</f>
        <v>1</v>
      </c>
      <c r="H12" s="223">
        <f>COUNTIFS('Base de Dados'!E:E,"X",'Base de Dados'!Q:Q,'Base de Cálculo'!$B$9,'Base de Dados'!X:X,'Base de Dados'!AK7)</f>
        <v>1</v>
      </c>
      <c r="I12" s="231">
        <f t="shared" si="1"/>
        <v>0.5</v>
      </c>
      <c r="J12" s="227">
        <f t="shared" ref="J12:J17" si="2">E12/C12</f>
        <v>0</v>
      </c>
      <c r="K12">
        <f>COUNTIFS('Base de Dados'!L:L,'Base de Cálculo'!K9,'Base de Dados'!Q:Q,B$9,'Base de Dados'!$E:$E,"x")</f>
        <v>2</v>
      </c>
      <c r="L12">
        <f>COUNTIFS('Base de Dados'!L:L,'Base de Cálculo'!L9,'Base de Dados'!Q:Q,B$9,'Base de Dados'!$E:$E,"x")</f>
        <v>0</v>
      </c>
      <c r="M12">
        <f>COUNTIFS('Base de Dados'!L:L,'Base de Cálculo'!M9,'Base de Dados'!Q:Q,B$9,'Base de Dados'!$E:$E,"x")</f>
        <v>0</v>
      </c>
      <c r="N12">
        <f>COUNTIFS('Base de Dados'!$K:$K,'Base de Cálculo'!N$9,'Base de Dados'!$Q:$Q,'Base de Cálculo'!$B$9,'Base de Dados'!$E:$E,"x")</f>
        <v>2</v>
      </c>
      <c r="O12">
        <f>COUNTIFS('Base de Dados'!$K:$K,'Base de Cálculo'!O$9,'Base de Dados'!$Q:$Q,'Base de Cálculo'!$B$9,'Base de Dados'!$E:$E,"x")</f>
        <v>0</v>
      </c>
      <c r="P12">
        <f>COUNTIFS('Base de Dados'!$V:$V,"&gt;=2",'Base de Dados'!$Q:$Q,'Base de Cálculo'!$B9,'Base de Dados'!$X:$X,"&lt;&gt;Rejeitado",'Base de Dados'!E:E,"X")</f>
        <v>2</v>
      </c>
      <c r="Q12">
        <f>COUNTIFS('Base de Dados'!$V:$V,"&lt;2",'Base de Dados'!$Q:$Q,'Base de Cálculo'!$B9,'Base de Dados'!$X:$X,"&lt;&gt;Rejeitado",'Base de Dados'!E:E,"X")</f>
        <v>0</v>
      </c>
      <c r="R12">
        <f>COUNTIFS('Base de Dados'!$AE:$AE,"1",'Base de Dados'!$Q:$Q,'Base de Cálculo'!$B$9,'Base de Dados'!$E:$E,"X")</f>
        <v>0</v>
      </c>
      <c r="S12">
        <f>COUNTIFS('Base de Dados'!$AE:$AE,"2",'Base de Dados'!$Q:$Q,'Base de Cálculo'!$B$9,'Base de Dados'!$E:$E,"X")</f>
        <v>0</v>
      </c>
      <c r="T12">
        <f>COUNTIFS('Base de Dados'!$AE:$AE,"3",'Base de Dados'!$Q:$Q,'Base de Cálculo'!$B$9,'Base de Dados'!$E:$E,"X")</f>
        <v>1</v>
      </c>
    </row>
    <row r="13" spans="2:22" ht="18">
      <c r="B13" s="216" t="s">
        <v>87</v>
      </c>
      <c r="C13" s="222">
        <f>COUNTIFS('Base de Dados'!F:F,"X",'Base de Dados'!Q:Q,'Base de Cálculo'!$B$9)</f>
        <v>27</v>
      </c>
      <c r="D13" s="223">
        <f>C13-E13</f>
        <v>18</v>
      </c>
      <c r="E13" s="223">
        <f>COUNTIFS('Base de Dados'!$X:$X,'Base de Dados'!$AK9,'Base de Dados'!$Q:$Q,$B9,'Base de Dados'!$F:$F,"x")</f>
        <v>9</v>
      </c>
      <c r="F13" s="223">
        <f>COUNTIFS('Base de Dados'!$X:$X,'Base de Dados'!$AK8,'Base de Dados'!$Q:$Q,$B9,'Base de Dados'!$F:$F,"x")</f>
        <v>0</v>
      </c>
      <c r="G13" s="223">
        <f>COUNTIFS('Base de Dados'!F:F,"X",'Base de Dados'!Q:Q,'Base de Cálculo'!$B$9,'Base de Dados'!X:X,'Base de Dados'!$AK$6)</f>
        <v>3</v>
      </c>
      <c r="H13" s="223">
        <f>COUNTIFS('Base de Dados'!F:F,"X",'Base de Dados'!Q:Q,'Base de Cálculo'!$B$9,'Base de Dados'!X:X,'Base de Dados'!AK7)</f>
        <v>15</v>
      </c>
      <c r="I13" s="231">
        <f t="shared" si="1"/>
        <v>0.16666666666666666</v>
      </c>
      <c r="J13" s="227">
        <f t="shared" si="2"/>
        <v>0.33333333333333331</v>
      </c>
      <c r="K13">
        <f>COUNTIFS('Base de Dados'!L:L,'Base de Cálculo'!K9,'Base de Dados'!Q:Q,B$9,'Base de Dados'!$F:$F,"x")</f>
        <v>23</v>
      </c>
      <c r="L13">
        <f>COUNTIFS('Base de Dados'!L:L,'Base de Cálculo'!L9,'Base de Dados'!Q:Q,B$9,'Base de Dados'!$F:$F,"x")</f>
        <v>3</v>
      </c>
      <c r="M13">
        <f>COUNTIFS('Base de Dados'!L:L,'Base de Cálculo'!M9,'Base de Dados'!Q:Q,B$9,'Base de Dados'!$F:$F,"x")</f>
        <v>1</v>
      </c>
      <c r="N13">
        <f>COUNTIFS('Base de Dados'!$K:$K,'Base de Cálculo'!N$9,'Base de Dados'!$Q:$Q,'Base de Cálculo'!$B$9,'Base de Dados'!$F:$F,"x")</f>
        <v>8</v>
      </c>
      <c r="O13">
        <f>COUNTIFS('Base de Dados'!$K:$K,'Base de Cálculo'!O$9,'Base de Dados'!$Q:$Q,'Base de Cálculo'!$B$9,'Base de Dados'!$F:$F,"x")</f>
        <v>19</v>
      </c>
      <c r="P13">
        <f>COUNTIFS('Base de Dados'!$V:$V,"&gt;=2",'Base de Dados'!$Q:$Q,'Base de Cálculo'!$B9,'Base de Dados'!$X:$X,"&lt;&gt;Rejeitado",'Base de Dados'!F:F,"X")</f>
        <v>5</v>
      </c>
      <c r="Q13">
        <f>COUNTIFS('Base de Dados'!$V:$V,"&lt;2",'Base de Dados'!$Q:$Q,'Base de Cálculo'!$B9,'Base de Dados'!$X:$X,"&lt;&gt;Rejeitado",'Base de Dados'!F:F,"X")</f>
        <v>13</v>
      </c>
      <c r="R13">
        <f>COUNTIFS('Base de Dados'!$AE:$AE,"1",'Base de Dados'!$Q:$Q,'Base de Cálculo'!$B$9,'Base de Dados'!$F:$F,"X")</f>
        <v>0</v>
      </c>
      <c r="S13">
        <f>COUNTIFS('Base de Dados'!$AE:$AE,"2",'Base de Dados'!$Q:$Q,'Base de Cálculo'!$B$9,'Base de Dados'!$F:$F,"X")</f>
        <v>2</v>
      </c>
      <c r="T13">
        <f>COUNTIFS('Base de Dados'!$AE:$AE,"3",'Base de Dados'!$Q:$Q,'Base de Cálculo'!$B$9,'Base de Dados'!$F:$F,"X")</f>
        <v>1</v>
      </c>
    </row>
    <row r="14" spans="2:22" ht="18">
      <c r="B14" s="216" t="s">
        <v>77</v>
      </c>
      <c r="C14" s="222">
        <f>COUNTIFS('Base de Dados'!G:G,"X",'Base de Dados'!Q:Q,'Base de Cálculo'!$B$9)</f>
        <v>17</v>
      </c>
      <c r="D14" s="223">
        <f t="shared" ref="D14:D16" si="3">C14-E14</f>
        <v>15</v>
      </c>
      <c r="E14" s="223">
        <f>COUNTIFS('Base de Dados'!$X:$X,'Base de Dados'!$AK9,'Base de Dados'!$Q:$Q,$B9,'Base de Dados'!$G:$G,"x")</f>
        <v>2</v>
      </c>
      <c r="F14" s="223">
        <f>COUNTIFS('Base de Dados'!$X:$X,'Base de Dados'!$AK8,'Base de Dados'!$Q:$Q,$B9,'Base de Dados'!$G:$G,"x")</f>
        <v>0</v>
      </c>
      <c r="G14" s="223">
        <f>COUNTIFS('Base de Dados'!G:G,"X",'Base de Dados'!Q:Q,'Base de Cálculo'!$B$9,'Base de Dados'!X:X,'Base de Dados'!$AK$6)</f>
        <v>6</v>
      </c>
      <c r="H14" s="223">
        <f>COUNTIFS('Base de Dados'!G:G,"X",'Base de Dados'!Q:Q,'Base de Cálculo'!$B$9,'Base de Dados'!X:X,'Base de Dados'!AK7)</f>
        <v>9</v>
      </c>
      <c r="I14" s="231">
        <f>G14/(G14+H14)</f>
        <v>0.4</v>
      </c>
      <c r="J14" s="227">
        <f t="shared" si="2"/>
        <v>0.11764705882352941</v>
      </c>
      <c r="K14">
        <f>COUNTIFS('Base de Dados'!$L:$L,'Base de Cálculo'!$K$9,'Base de Dados'!$Q:$Q,$B$9,'Base de Dados'!$G:$G,"x")</f>
        <v>16</v>
      </c>
      <c r="L14">
        <f>COUNTIFS('Base de Dados'!$L:$L,'Base de Cálculo'!L$9,'Base de Dados'!$Q:$Q,$B$9,'Base de Dados'!$G:$G,"x")</f>
        <v>1</v>
      </c>
      <c r="M14">
        <f>COUNTIFS('Base de Dados'!$L:$L,'Base de Cálculo'!M$9,'Base de Dados'!$Q:$Q,$B$9,'Base de Dados'!$G:$G,"x")</f>
        <v>0</v>
      </c>
      <c r="N14">
        <f>COUNTIFS('Base de Dados'!$K:$K,'Base de Cálculo'!N$9,'Base de Dados'!$Q:$Q,'Base de Cálculo'!$B$9,'Base de Dados'!$G:$G,"x")</f>
        <v>11</v>
      </c>
      <c r="O14">
        <f>COUNTIFS('Base de Dados'!$K:$K,'Base de Cálculo'!O$9,'Base de Dados'!$Q:$Q,'Base de Cálculo'!$B$9,'Base de Dados'!$G:$G,"x")</f>
        <v>6</v>
      </c>
      <c r="P14">
        <f>COUNTIFS('Base de Dados'!$V:$V,"&gt;=2",'Base de Dados'!$Q:$Q,'Base de Cálculo'!$B9,'Base de Dados'!$X:$X,"&lt;&gt;Rejeitado",'Base de Dados'!G:G,"X")</f>
        <v>7</v>
      </c>
      <c r="Q14">
        <f>COUNTIFS('Base de Dados'!$V:$V,"&lt;2",'Base de Dados'!$Q:$Q,'Base de Cálculo'!$B9,'Base de Dados'!$X:$X,"&lt;&gt;Rejeitado",'Base de Dados'!G:G,"X")</f>
        <v>8</v>
      </c>
      <c r="R14">
        <f>COUNTIFS('Base de Dados'!$AE:$AE,"1",'Base de Dados'!$Q:$Q,'Base de Cálculo'!$B$9,'Base de Dados'!$G:$G,"X")</f>
        <v>0</v>
      </c>
      <c r="S14">
        <f>COUNTIFS('Base de Dados'!$AE:$AE,"2",'Base de Dados'!$Q:$Q,'Base de Cálculo'!$B$9,'Base de Dados'!$G:$G,"X")</f>
        <v>4</v>
      </c>
      <c r="T14">
        <f>COUNTIFS('Base de Dados'!$AE:$AE,"3",'Base de Dados'!$Q:$Q,'Base de Cálculo'!$B$9,'Base de Dados'!$G:$G,"X")</f>
        <v>2</v>
      </c>
    </row>
    <row r="15" spans="2:22" ht="18">
      <c r="B15" s="216" t="s">
        <v>165</v>
      </c>
      <c r="C15" s="222">
        <f>COUNTIFS('Base de Dados'!H:H,"X",'Base de Dados'!Q:Q,'Base de Cálculo'!$B$9)</f>
        <v>26</v>
      </c>
      <c r="D15" s="223">
        <f t="shared" si="3"/>
        <v>22</v>
      </c>
      <c r="E15" s="223">
        <f>COUNTIFS('Base de Dados'!$X:$X,'Base de Dados'!$AK9,'Base de Dados'!$Q:$Q,$B9,'Base de Dados'!$H:$H,"x")</f>
        <v>4</v>
      </c>
      <c r="F15" s="223">
        <f>COUNTIFS('Base de Dados'!$X:$X,'Base de Dados'!$AK8,'Base de Dados'!$Q:$Q,$B9,'Base de Dados'!$H:$H,"x")</f>
        <v>0</v>
      </c>
      <c r="G15" s="223">
        <f>COUNTIFS('Base de Dados'!H:H,"X",'Base de Dados'!Q:Q,'Base de Cálculo'!$B$9,'Base de Dados'!X:X,'Base de Dados'!$AK$6)</f>
        <v>6</v>
      </c>
      <c r="H15" s="223">
        <f>COUNTIFS('Base de Dados'!H:H,"X",'Base de Dados'!Q:Q,'Base de Cálculo'!$B$9,'Base de Dados'!X:X,'Base de Dados'!AK7)</f>
        <v>16</v>
      </c>
      <c r="I15" s="231">
        <f t="shared" si="1"/>
        <v>0.27272727272727271</v>
      </c>
      <c r="J15" s="227">
        <f t="shared" si="2"/>
        <v>0.15384615384615385</v>
      </c>
      <c r="K15">
        <f>COUNTIFS('Base de Dados'!$L:$L,'Base de Cálculo'!K$9,'Base de Dados'!$Q:$Q,$B$9,'Base de Dados'!$H:$H,"x")</f>
        <v>24</v>
      </c>
      <c r="L15">
        <f>COUNTIFS('Base de Dados'!$L:$L,'Base de Cálculo'!L$9,'Base de Dados'!$Q:$Q,$B$9,'Base de Dados'!$H:$H,"x")</f>
        <v>1</v>
      </c>
      <c r="M15">
        <f>COUNTIFS('Base de Dados'!$L:$L,'Base de Cálculo'!M$9,'Base de Dados'!$Q:$Q,$B$9,'Base de Dados'!$H:$H,"x")</f>
        <v>1</v>
      </c>
      <c r="N15">
        <f>COUNTIFS('Base de Dados'!$K:$K,'Base de Cálculo'!N$9,'Base de Dados'!$Q:$Q,'Base de Cálculo'!$B$9,'Base de Dados'!$H:$H,"x")</f>
        <v>19</v>
      </c>
      <c r="O15">
        <f>COUNTIFS('Base de Dados'!$K:$K,'Base de Cálculo'!O$9,'Base de Dados'!$Q:$Q,'Base de Cálculo'!$B$9,'Base de Dados'!$H:$H,"x")</f>
        <v>7</v>
      </c>
      <c r="P15">
        <f>COUNTIFS('Base de Dados'!$V:$V,"&gt;=2",'Base de Dados'!$Q:$Q,'Base de Cálculo'!$B9,'Base de Dados'!$X:$X,"&lt;&gt;Rejeitado",'Base de Dados'!H:H,"X")</f>
        <v>12</v>
      </c>
      <c r="Q15">
        <f>COUNTIFS('Base de Dados'!$V:$V,"&lt;2",'Base de Dados'!$Q:$Q,'Base de Cálculo'!$B9,'Base de Dados'!$X:$X,"&lt;&gt;Rejeitado",'Base de Dados'!H:H,"X")</f>
        <v>10</v>
      </c>
      <c r="R15">
        <f>COUNTIFS('Base de Dados'!$AE:$AE,"1",'Base de Dados'!$Q:$Q,'Base de Cálculo'!$B$9,'Base de Dados'!$H:$H,"X")</f>
        <v>0</v>
      </c>
      <c r="S15">
        <f>COUNTIFS('Base de Dados'!$AE:$AE,"2",'Base de Dados'!$Q:$Q,'Base de Cálculo'!$B$9,'Base de Dados'!$H:$H,"X")</f>
        <v>3</v>
      </c>
      <c r="T15">
        <f>COUNTIFS('Base de Dados'!$AE:$AE,"3",'Base de Dados'!$Q:$Q,'Base de Cálculo'!$B$9,'Base de Dados'!$H:$H,"X")</f>
        <v>3</v>
      </c>
    </row>
    <row r="16" spans="2:22" ht="18">
      <c r="B16" s="221">
        <v>360</v>
      </c>
      <c r="C16" s="222">
        <f>COUNTIFS('Base de Dados'!I:I,"X",'Base de Dados'!Q:Q,'Base de Cálculo'!$B$9)</f>
        <v>13</v>
      </c>
      <c r="D16" s="223">
        <f t="shared" si="3"/>
        <v>9</v>
      </c>
      <c r="E16" s="223">
        <f>COUNTIFS('Base de Dados'!X:X,'Base de Dados'!AK$9,'Base de Dados'!Q:Q,B$9,'Base de Dados'!I:I,"x")</f>
        <v>4</v>
      </c>
      <c r="F16" s="223">
        <f>COUNTIFS('Base de Dados'!Y:Y,'Base de Dados'!AL$9,'Base de Dados'!R:R,C$9,'Base de Dados'!J:J,"x")</f>
        <v>0</v>
      </c>
      <c r="G16" s="223">
        <f>COUNTIFS('Base de Dados'!I:I,"X",'Base de Dados'!Q:Q,'Base de Cálculo'!$B$9,'Base de Dados'!X:X,'Base de Dados'!$AK$6)</f>
        <v>3</v>
      </c>
      <c r="H16" s="223">
        <f>COUNTIFS('Base de Dados'!I:I,"X",'Base de Dados'!Q:Q,'Base de Cálculo'!$B$9,'Base de Dados'!X:X,'Base de Dados'!AK7)</f>
        <v>6</v>
      </c>
      <c r="I16" s="231">
        <f t="shared" si="1"/>
        <v>0.33333333333333331</v>
      </c>
      <c r="J16" s="227">
        <f t="shared" si="2"/>
        <v>0.30769230769230771</v>
      </c>
      <c r="K16">
        <f>COUNTIFS('Base de Dados'!$L:$L,'Base de Cálculo'!K$9,'Base de Dados'!$Q:$Q,$B$9,'Base de Dados'!$I:$I,"x")</f>
        <v>6</v>
      </c>
      <c r="L16">
        <f>COUNTIFS('Base de Dados'!$L:$L,'Base de Cálculo'!L$9,'Base de Dados'!$Q:$Q,$B$9,'Base de Dados'!$I:$I,"x")</f>
        <v>1</v>
      </c>
      <c r="M16">
        <f>COUNTIFS('Base de Dados'!$L:$L,'Base de Cálculo'!M$9,'Base de Dados'!$Q:$Q,$B$9,'Base de Dados'!$I:$I,"x")</f>
        <v>6</v>
      </c>
      <c r="N16">
        <f>COUNTIFS('Base de Dados'!$K:$K,'Base de Cálculo'!N$9,'Base de Dados'!$Q:$Q,'Base de Cálculo'!$B$9,'Base de Dados'!$I:$I,"x")</f>
        <v>9</v>
      </c>
      <c r="O16">
        <f>COUNTIFS('Base de Dados'!$K:$K,'Base de Cálculo'!O$9,'Base de Dados'!$Q:$Q,'Base de Cálculo'!$B$9,'Base de Dados'!$I:$I,"x")</f>
        <v>4</v>
      </c>
      <c r="P16">
        <f>COUNTIFS('Base de Dados'!$V:$V,"&gt;=2",'Base de Dados'!$Q:$Q,'Base de Cálculo'!$B9,'Base de Dados'!$X:$X,"&lt;&gt;Rejeitado",'Base de Dados'!I:I,"X")</f>
        <v>6</v>
      </c>
      <c r="Q16">
        <f>COUNTIFS('Base de Dados'!$V:$V,"&lt;2",'Base de Dados'!$Q:$Q,'Base de Cálculo'!$B9,'Base de Dados'!$X:$X,"&lt;&gt;Rejeitado",'Base de Dados'!I:I,"X")</f>
        <v>3</v>
      </c>
      <c r="R16">
        <f>COUNTIFS('Base de Dados'!$AE:$AE,"1",'Base de Dados'!$Q:$Q,'Base de Cálculo'!$B$9,'Base de Dados'!$I:$I,"X")</f>
        <v>2</v>
      </c>
      <c r="S16">
        <f>COUNTIFS('Base de Dados'!$AE:$AE,"2",'Base de Dados'!$Q:$Q,'Base de Cálculo'!$B$9,'Base de Dados'!$I:$I,"X")</f>
        <v>1</v>
      </c>
      <c r="T16">
        <f>COUNTIFS('Base de Dados'!$AE:$AE,"3",'Base de Dados'!$Q:$Q,'Base de Cálculo'!$B$9,'Base de Dados'!$I:$I,"X")</f>
        <v>0</v>
      </c>
    </row>
    <row r="17" spans="2:22" ht="18">
      <c r="B17" s="216" t="s">
        <v>656</v>
      </c>
      <c r="C17" s="222">
        <f>COUNTIFS('Base de Dados'!J:J,"&gt;=3",'Base de Dados'!Q:Q,'Base de Cálculo'!$B$9)</f>
        <v>8</v>
      </c>
      <c r="D17" s="223">
        <f>G17+H17</f>
        <v>7</v>
      </c>
      <c r="E17" s="223">
        <f>COUNTIFS('Base de Dados'!$X:$X,'Base de Dados'!$AK9,'Base de Dados'!$Q:$Q,$B9,'Base de Dados'!$J:$J,"&gt;=3")</f>
        <v>1</v>
      </c>
      <c r="F17" s="223">
        <f>COUNTIFS('Base de Dados'!$X:$X,'Base de Dados'!$AK8,'Base de Dados'!$Q:$Q,$B9,'Base de Dados'!$J:$J,"&gt;=3")</f>
        <v>0</v>
      </c>
      <c r="G17" s="223">
        <f>COUNTIFS('Base de Dados'!J:J,"&gt;=3",'Base de Dados'!Q:Q,'Base de Cálculo'!$B$9,'Base de Dados'!X:X,'Base de Dados'!$AK$6)</f>
        <v>2</v>
      </c>
      <c r="H17" s="223">
        <f>COUNTIFS('Base de Dados'!J:J,"&gt;=3",'Base de Dados'!Q:Q,'Base de Cálculo'!$B$9,'Base de Dados'!X:X,'Base de Dados'!AK7)</f>
        <v>5</v>
      </c>
      <c r="I17" s="231">
        <f t="shared" si="1"/>
        <v>0.2857142857142857</v>
      </c>
      <c r="J17" s="227">
        <f t="shared" si="2"/>
        <v>0.125</v>
      </c>
      <c r="K17">
        <f>COUNTIFS('Base de Dados'!$L:$L,'Base de Cálculo'!K$9,'Base de Dados'!$Q:$Q,$B$9,'Base de Dados'!$J:$J,"&gt;=3")</f>
        <v>8</v>
      </c>
      <c r="L17">
        <f>COUNTIFS('Base de Dados'!$L:$L,'Base de Cálculo'!L$9,'Base de Dados'!$Q:$Q,$B$9,'Base de Dados'!$J:$J,"&gt;=3")</f>
        <v>0</v>
      </c>
      <c r="M17">
        <f>COUNTIFS('Base de Dados'!$L:$L,'Base de Cálculo'!M$9,'Base de Dados'!$Q:$Q,$B$9,'Base de Dados'!$J:$J,"&gt;=3")</f>
        <v>0</v>
      </c>
      <c r="N17">
        <f>COUNTIFS('Base de Dados'!$K:$K,'Base de Cálculo'!N$9,'Base de Dados'!$Q:$Q,'Base de Cálculo'!$B$9,'Base de Dados'!$J:$J,"&gt;=3")</f>
        <v>4</v>
      </c>
      <c r="O17">
        <f>COUNTIFS('Base de Dados'!$K:$K,'Base de Cálculo'!O$9,'Base de Dados'!$Q:$Q,'Base de Cálculo'!$B$9,'Base de Dados'!$J:$J,"&gt;=3")</f>
        <v>4</v>
      </c>
      <c r="P17">
        <f>COUNTIFS('Base de Dados'!$V:$V,"&gt;=2",'Base de Dados'!$Q:$Q,'Base de Cálculo'!$B9,'Base de Dados'!$X:$X,"&lt;&gt;Rejeitado",'Base de Dados'!$J:$J,"&gt;=3")</f>
        <v>2</v>
      </c>
      <c r="Q17">
        <f>COUNTIFS('Base de Dados'!$V:$V,"&lt;2",'Base de Dados'!$Q:$Q,'Base de Cálculo'!$B9,'Base de Dados'!$X:$X,"&lt;&gt;Rejeitado",'Base de Dados'!$J:$J,"&gt;=3")</f>
        <v>5</v>
      </c>
      <c r="R17">
        <f>COUNTIFS('Base de Dados'!$AE:$AE,"1",'Base de Dados'!$Q:$Q,'Base de Cálculo'!$B$9,'Base de Dados'!$J:$J,"&gt;=3")</f>
        <v>0</v>
      </c>
      <c r="S17">
        <f>COUNTIFS('Base de Dados'!$AE:$AE,"2",'Base de Dados'!$Q:$Q,'Base de Cálculo'!$B$9,'Base de Dados'!$J:$J,"&gt;=3")</f>
        <v>2</v>
      </c>
      <c r="T17">
        <f>COUNTIFS('Base de Dados'!$AE:$AE,"3",'Base de Dados'!$Q:$Q,'Base de Cálculo'!$B$9,'Base de Dados'!$J:$J,"&gt;=3")</f>
        <v>0</v>
      </c>
    </row>
    <row r="19" spans="2:22">
      <c r="B19" s="226">
        <v>2025</v>
      </c>
      <c r="C19" s="223" t="s">
        <v>60</v>
      </c>
      <c r="D19" s="223" t="s">
        <v>50</v>
      </c>
      <c r="E19" s="223" t="s">
        <v>301</v>
      </c>
      <c r="F19" s="223" t="s">
        <v>645</v>
      </c>
      <c r="G19" s="223" t="s">
        <v>309</v>
      </c>
      <c r="H19" s="223" t="s">
        <v>54</v>
      </c>
      <c r="I19" s="223" t="s">
        <v>646</v>
      </c>
      <c r="J19" s="223" t="s">
        <v>647</v>
      </c>
      <c r="K19" s="228" t="s">
        <v>25</v>
      </c>
      <c r="L19" s="228" t="s">
        <v>32</v>
      </c>
      <c r="M19" s="228" t="s">
        <v>20</v>
      </c>
      <c r="N19" s="276" t="s">
        <v>19</v>
      </c>
      <c r="O19" s="276" t="s">
        <v>28</v>
      </c>
      <c r="P19" s="223" t="s">
        <v>648</v>
      </c>
      <c r="Q19" s="223" t="s">
        <v>649</v>
      </c>
      <c r="R19" s="238" t="s">
        <v>650</v>
      </c>
      <c r="S19" s="238" t="s">
        <v>651</v>
      </c>
      <c r="T19" s="238" t="s">
        <v>652</v>
      </c>
      <c r="U19" s="238" t="s">
        <v>653</v>
      </c>
      <c r="V19" s="238" t="s">
        <v>654</v>
      </c>
    </row>
    <row r="20" spans="2:22" ht="19">
      <c r="B20" s="234" t="s">
        <v>655</v>
      </c>
      <c r="C20" s="235">
        <f>COUNTIF('Base de Dados'!Q:Q,"2025")</f>
        <v>105</v>
      </c>
      <c r="D20" s="230">
        <f>COUNTIFS('Base de Dados'!$X:$X,'Base de Dados'!$AK6,'Base de Dados'!$Q:$Q,$B19)+COUNTIFS('Base de Dados'!$X:$X,'Base de Dados'!$AK7,'Base de Dados'!$Q:$Q,$B19)+COUNTIFS('Base de Dados'!$X:$X,'Base de Dados'!$AK8,'Base de Dados'!$Q:$Q,$B19)</f>
        <v>20</v>
      </c>
      <c r="E20" s="236">
        <f>COUNTIFS('Base de Dados'!X:X,'Base de Dados'!AK9,'Base de Dados'!Q:Q,B19)</f>
        <v>85</v>
      </c>
      <c r="F20" s="236">
        <f>COUNTIFS('Base de Dados'!$X:$X,'Base de Dados'!$AK8,'Base de Dados'!$Q:$Q,$B19)</f>
        <v>0</v>
      </c>
      <c r="G20" s="235">
        <f>COUNTIFS('Base de Dados'!X:X,'Base de Dados'!AK6,'Base de Dados'!Q:Q,B19)</f>
        <v>7</v>
      </c>
      <c r="H20" s="235">
        <f>COUNTIFS('Base de Dados'!X:X,'Base de Dados'!AK7,'Base de Dados'!Q:Q,B19)</f>
        <v>13</v>
      </c>
      <c r="I20" s="231">
        <f>G20/(G20+H20)</f>
        <v>0.35</v>
      </c>
      <c r="J20" s="237">
        <f>E20/C20</f>
        <v>0.80952380952380953</v>
      </c>
      <c r="K20" s="232">
        <f>COUNTIFS('Base de Dados'!L:L,'Base de Cálculo'!K19,'Base de Dados'!Q:Q,B$19)</f>
        <v>77</v>
      </c>
      <c r="L20" s="235">
        <f>COUNTIFS('Base de Dados'!L:L,'Base de Cálculo'!L19,'Base de Dados'!Q:Q,B$19)</f>
        <v>8</v>
      </c>
      <c r="M20" s="235">
        <f>COUNTIFS('Base de Dados'!L:L,'Base de Cálculo'!M19,'Base de Dados'!Q:Q,B$19)</f>
        <v>18</v>
      </c>
      <c r="N20" s="235">
        <f>COUNTIFS('Base de Dados'!$K:$K,'Base de Cálculo'!$N19,'Base de Dados'!$Q:$Q,$B19)</f>
        <v>41</v>
      </c>
      <c r="O20" s="235">
        <f>COUNTIFS('Base de Dados'!$K:$K,'Base de Cálculo'!$O19,'Base de Dados'!$Q:$Q,$B19)</f>
        <v>31</v>
      </c>
      <c r="P20" s="233">
        <f>COUNTIFS('Base de Dados'!$V:$V,"&gt;=2",'Base de Dados'!$Q:$Q,'Base de Cálculo'!$B19,'Base de Dados'!$X:$X,"&lt;&gt;Rejeitado")</f>
        <v>18</v>
      </c>
      <c r="Q20" s="233">
        <f>COUNTIFS('Base de Dados'!$X:$X,"&lt;&gt;Rejeitado",'Base de Dados'!$Q:$Q,'Base de Cálculo'!$B19,'Base de Dados'!$V:$V,"&lt;2")</f>
        <v>2</v>
      </c>
      <c r="R20" s="233">
        <f>COUNTIFS('Base de Dados'!$AE:$AE,"1",'Base de Dados'!$Q:$Q,'Base de Cálculo'!$B$19)</f>
        <v>2</v>
      </c>
      <c r="S20" s="233">
        <f>COUNTIFS('Base de Dados'!$AE:$AE,"2",'Base de Dados'!$Q:$Q,'Base de Cálculo'!$B$19)</f>
        <v>4</v>
      </c>
      <c r="T20" s="233">
        <f>COUNTIFS('Base de Dados'!$AE:$AE,"3",'Base de Dados'!$Q:$Q,'Base de Cálculo'!$B$19)</f>
        <v>1</v>
      </c>
      <c r="U20" s="259">
        <f>SUMIFS('Base de Dados'!$M:$M,'Base de Dados'!$X:$X,'Base de Dados'!$AK6,'Base de Dados'!$Q:$Q,'Base de Cálculo'!$B19)+4250</f>
        <v>1602890</v>
      </c>
      <c r="V20" s="264">
        <f>U20/G20</f>
        <v>228984.28571428571</v>
      </c>
    </row>
    <row r="21" spans="2:22" ht="18">
      <c r="B21" s="216" t="s">
        <v>27</v>
      </c>
      <c r="C21" s="222">
        <f>COUNTIFS('Base de Dados'!D:D,"X",'Base de Dados'!Q:Q,'Base de Cálculo'!B19)</f>
        <v>36</v>
      </c>
      <c r="D21" s="223">
        <f t="shared" ref="D21:D22" si="4">C21-E21</f>
        <v>7</v>
      </c>
      <c r="E21" s="223">
        <f>COUNTIFS('Base de Dados'!$X:$X,'Base de Dados'!$AK9,'Base de Dados'!$Q:$Q,$B19,'Base de Dados'!$D:$D,"x")</f>
        <v>29</v>
      </c>
      <c r="F21" s="223">
        <f>COUNTIFS('Base de Dados'!$X:$X,'Base de Dados'!$AK8,'Base de Dados'!$Q:$Q,$B19,'Base de Dados'!$D:$D,"x")</f>
        <v>0</v>
      </c>
      <c r="G21" s="223">
        <f>COUNTIFS('Base de Dados'!$X:$X,'Base de Dados'!$AK6,'Base de Dados'!$Q:$Q,$B19,'Base de Dados'!$D:$D,"x")</f>
        <v>2</v>
      </c>
      <c r="H21" s="223">
        <f>COUNTIFS('Base de Dados'!$X:$X,'Base de Dados'!$AK7,'Base de Dados'!$Q:$Q,$B19,'Base de Dados'!$D:$D,"x")</f>
        <v>5</v>
      </c>
      <c r="I21" s="231">
        <f t="shared" ref="I21:I27" si="5">G21/(G21+H21)</f>
        <v>0.2857142857142857</v>
      </c>
      <c r="J21" s="227">
        <f>E21/C21</f>
        <v>0.80555555555555558</v>
      </c>
      <c r="K21">
        <f>COUNTIFS('Base de Dados'!L:L,'Base de Cálculo'!K19,'Base de Dados'!Q:Q,B$19,'Base de Dados'!$E:$E,"x")</f>
        <v>14</v>
      </c>
      <c r="L21">
        <f>COUNTIFS('Base de Dados'!L:L,'Base de Cálculo'!L19,'Base de Dados'!Q:Q,B$19,'Base de Dados'!$D:$D,"x")</f>
        <v>1</v>
      </c>
      <c r="M21">
        <f>COUNTIFS('Base de Dados'!L:L,'Base de Cálculo'!M19,'Base de Dados'!Q:Q,B$19,'Base de Dados'!$D:$D,"x")</f>
        <v>9</v>
      </c>
      <c r="N21">
        <f>COUNTIFS('Base de Dados'!$K:$K,'Base de Cálculo'!$N19,'Base de Dados'!$Q:$Q,'Base de Cálculo'!$B19,'Base de Dados'!$D:$D,"x")</f>
        <v>18</v>
      </c>
      <c r="O21">
        <f>COUNTIFS('Base de Dados'!$K:$K,'Base de Cálculo'!$O19,'Base de Dados'!$Q:$Q,'Base de Cálculo'!$B19,'Base de Dados'!$D:$D,"x")</f>
        <v>6</v>
      </c>
      <c r="P21">
        <f>COUNTIFS('Base de Dados'!$V:$V,"&gt;=2",'Base de Dados'!$Q:$Q,'Base de Cálculo'!$B19,'Base de Dados'!$X:$X,"&lt;&gt;Rejeitado",'Base de Dados'!D:D,"X")</f>
        <v>6</v>
      </c>
      <c r="Q21">
        <f>COUNTIFS('Base de Dados'!$V:$V,"&lt;2",'Base de Dados'!$Q:$Q,'Base de Cálculo'!$B19,'Base de Dados'!$X:$X,"&lt;&gt;Rejeitado",'Base de Dados'!D:D,"X")</f>
        <v>1</v>
      </c>
      <c r="R21">
        <f>COUNTIFS('Base de Dados'!$AE:$AE,"1",'Base de Dados'!$Q:$Q,'Base de Cálculo'!$B$19,'Base de Dados'!$D:$D,"X")</f>
        <v>0</v>
      </c>
      <c r="S21">
        <f>COUNTIFS('Base de Dados'!$AE:$AE,"2",'Base de Dados'!$Q:$Q,'Base de Cálculo'!$B$19,'Base de Dados'!$D:$D,"X")</f>
        <v>2</v>
      </c>
      <c r="T21">
        <f>COUNTIFS('Base de Dados'!$AE:$AE,"3",'Base de Dados'!$Q:$Q,'Base de Cálculo'!$B$19,'Base de Dados'!$D:$D,"X")</f>
        <v>0</v>
      </c>
    </row>
    <row r="22" spans="2:22" ht="18">
      <c r="B22" s="216" t="s">
        <v>32</v>
      </c>
      <c r="C22" s="223">
        <f>COUNTIFS('Base de Dados'!E:E,"X",'Base de Dados'!Q:Q,'Base de Cálculo'!$B$19)</f>
        <v>22</v>
      </c>
      <c r="D22" s="223">
        <f t="shared" si="4"/>
        <v>5</v>
      </c>
      <c r="E22" s="223">
        <f>COUNTIFS('Base de Dados'!$X:$X,'Base de Dados'!$AK9,'Base de Dados'!$Q:$Q,$B19,'Base de Dados'!$E:$E,"x")</f>
        <v>17</v>
      </c>
      <c r="F22" s="223">
        <f>COUNTIFS('Base de Dados'!$X:$X,'Base de Dados'!$AK8,'Base de Dados'!$Q:$Q,$B19,'Base de Dados'!$E:$E,"x")</f>
        <v>0</v>
      </c>
      <c r="G22" s="223">
        <f>COUNTIFS('Base de Dados'!$X:$X,'Base de Dados'!$AK6,'Base de Dados'!$Q:$Q,$B19,'Base de Dados'!$E:$E,"x")</f>
        <v>1</v>
      </c>
      <c r="H22" s="223">
        <f>COUNTIFS('Base de Dados'!$X:$X,'Base de Dados'!$AK7,'Base de Dados'!$Q:$Q,$B19,'Base de Dados'!$E:$E,"x")</f>
        <v>4</v>
      </c>
      <c r="I22" s="231">
        <f t="shared" si="5"/>
        <v>0.2</v>
      </c>
      <c r="J22" s="227">
        <f t="shared" ref="J22:J27" si="6">E22/C22</f>
        <v>0.77272727272727271</v>
      </c>
      <c r="K22">
        <f>COUNTIFS('Base de Dados'!L:L,'Base de Cálculo'!K19,'Base de Dados'!Q:Q,B$19,'Base de Dados'!$E:$E,"x")</f>
        <v>14</v>
      </c>
      <c r="L22">
        <f>COUNTIFS('Base de Dados'!L:L,'Base de Cálculo'!L19,'Base de Dados'!Q:Q,B$19,'Base de Dados'!$E:$E,"x")</f>
        <v>4</v>
      </c>
      <c r="M22">
        <f>COUNTIFS('Base de Dados'!L:L,'Base de Cálculo'!M19,'Base de Dados'!Q:Q,B$19,'Base de Dados'!$E:$E,"x")</f>
        <v>3</v>
      </c>
      <c r="N22">
        <f>COUNTIFS('Base de Dados'!$K:$K,'Base de Cálculo'!N$19,'Base de Dados'!$Q:$Q,'Base de Cálculo'!$B$19,'Base de Dados'!$E:$E,"x")</f>
        <v>6</v>
      </c>
      <c r="O22">
        <f>COUNTIFS('Base de Dados'!$K:$K,'Base de Cálculo'!O$19,'Base de Dados'!$Q:$Q,'Base de Cálculo'!$B$19,'Base de Dados'!$E:$E,"x")</f>
        <v>4</v>
      </c>
      <c r="P22">
        <f>COUNTIFS('Base de Dados'!$V:$V,"&gt;=2",'Base de Dados'!$Q:$Q,'Base de Cálculo'!$B19,'Base de Dados'!$X:$X,"&lt;&gt;Rejeitado",'Base de Dados'!E:E,"X")</f>
        <v>4</v>
      </c>
      <c r="Q22">
        <f>COUNTIFS('Base de Dados'!$V:$V,"&lt;2",'Base de Dados'!$Q:$Q,'Base de Cálculo'!$B19,'Base de Dados'!$X:$X,"&lt;&gt;Rejeitado",'Base de Dados'!E:E,"X")</f>
        <v>1</v>
      </c>
      <c r="R22">
        <f>COUNTIFS('Base de Dados'!$AE:$AE,"1",'Base de Dados'!$Q:$Q,'Base de Cálculo'!$B$19,'Base de Dados'!$E:$E,"X")</f>
        <v>0</v>
      </c>
      <c r="S22">
        <f>COUNTIFS('Base de Dados'!$AE:$AE,"2",'Base de Dados'!$Q:$Q,'Base de Cálculo'!$B$19,'Base de Dados'!$E:$E,"X")</f>
        <v>1</v>
      </c>
      <c r="T22">
        <f>COUNTIFS('Base de Dados'!$AE:$AE,"3",'Base de Dados'!$Q:$Q,'Base de Cálculo'!$B$19,'Base de Dados'!$E:$E,"X")</f>
        <v>0</v>
      </c>
    </row>
    <row r="23" spans="2:22" ht="18">
      <c r="B23" s="216" t="s">
        <v>87</v>
      </c>
      <c r="C23" s="223">
        <f>COUNTIFS('Base de Dados'!F:F,"X",'Base de Dados'!Q:Q,'Base de Cálculo'!$B$19)</f>
        <v>22</v>
      </c>
      <c r="D23" s="223">
        <f>C23-E23</f>
        <v>1</v>
      </c>
      <c r="E23" s="223">
        <f>COUNTIFS('Base de Dados'!$X:$X,'Base de Dados'!$AK9,'Base de Dados'!$Q:$Q,$B19,'Base de Dados'!$F:$F,"x")</f>
        <v>21</v>
      </c>
      <c r="F23" s="223">
        <f>COUNTIFS('Base de Dados'!$X:$X,'Base de Dados'!$AK8,'Base de Dados'!$Q:$Q,$B19,'Base de Dados'!$F:$F,"x")</f>
        <v>0</v>
      </c>
      <c r="G23" s="223">
        <f>COUNTIFS('Base de Dados'!$X:$X,'Base de Dados'!$AK6,'Base de Dados'!$Q:$Q,$B19,'Base de Dados'!$F:$F,"x")</f>
        <v>0</v>
      </c>
      <c r="H23" s="223">
        <f>COUNTIFS('Base de Dados'!$X:$X,'Base de Dados'!$AK7,'Base de Dados'!$Q:$Q,$B19,'Base de Dados'!$F:$F,"x")</f>
        <v>1</v>
      </c>
      <c r="I23" s="231">
        <f t="shared" si="5"/>
        <v>0</v>
      </c>
      <c r="J23" s="227">
        <f t="shared" si="6"/>
        <v>0.95454545454545459</v>
      </c>
      <c r="K23">
        <f>COUNTIFS('Base de Dados'!L:L,'Base de Cálculo'!K19,'Base de Dados'!Q:Q,B$19,'Base de Dados'!$F:$F,"x")</f>
        <v>12</v>
      </c>
      <c r="L23">
        <f>COUNTIFS('Base de Dados'!L:L,'Base de Cálculo'!L19,'Base de Dados'!Q:Q,B$19,'Base de Dados'!$F:$F,"x")</f>
        <v>5</v>
      </c>
      <c r="M23">
        <f>COUNTIFS('Base de Dados'!L:L,'Base de Cálculo'!M19,'Base de Dados'!Q:Q,B$19,'Base de Dados'!$F:$F,"x")</f>
        <v>5</v>
      </c>
      <c r="N23">
        <f>COUNTIFS('Base de Dados'!$K:$K,'Base de Cálculo'!N$19,'Base de Dados'!$Q:$Q,'Base de Cálculo'!$B$19,'Base de Dados'!$F:$F,"x")</f>
        <v>4</v>
      </c>
      <c r="O23">
        <f>COUNTIFS('Base de Dados'!$K:$K,'Base de Cálculo'!O$19,'Base de Dados'!$Q:$Q,'Base de Cálculo'!$B$19,'Base de Dados'!$F:$F,"x")</f>
        <v>14</v>
      </c>
      <c r="P23">
        <f>COUNTIFS('Base de Dados'!$V:$V,"&gt;=2",'Base de Dados'!$Q:$Q,'Base de Cálculo'!$B19,'Base de Dados'!$X:$X,"&lt;&gt;Rejeitado",'Base de Dados'!F:F,"X")</f>
        <v>1</v>
      </c>
      <c r="Q23">
        <f>COUNTIFS('Base de Dados'!$V:$V,"&lt;2",'Base de Dados'!$Q:$Q,'Base de Cálculo'!$B19,'Base de Dados'!$X:$X,"&lt;&gt;Rejeitado",'Base de Dados'!F:F,"X")</f>
        <v>0</v>
      </c>
      <c r="R23">
        <f>COUNTIFS('Base de Dados'!$AE:$AE,"1",'Base de Dados'!$Q:$Q,'Base de Cálculo'!$B$19,'Base de Dados'!$F:$F,"X")</f>
        <v>0</v>
      </c>
      <c r="S23">
        <f>COUNTIFS('Base de Dados'!$AE:$AE,"2",'Base de Dados'!$Q:$Q,'Base de Cálculo'!$B$19,'Base de Dados'!$F:$F,"X")</f>
        <v>0</v>
      </c>
      <c r="T23">
        <f>COUNTIFS('Base de Dados'!$AE:$AE,"3",'Base de Dados'!$Q:$Q,'Base de Cálculo'!$B$19,'Base de Dados'!$F:$F,"X")</f>
        <v>0</v>
      </c>
    </row>
    <row r="24" spans="2:22" ht="18">
      <c r="B24" s="216" t="s">
        <v>77</v>
      </c>
      <c r="C24" s="223">
        <f>COUNTIFS('Base de Dados'!G:G,"X",'Base de Dados'!Q:Q,'Base de Cálculo'!$B$19)</f>
        <v>22</v>
      </c>
      <c r="D24" s="223">
        <f t="shared" ref="D24:D26" si="7">C24-E24</f>
        <v>6</v>
      </c>
      <c r="E24" s="223">
        <f>COUNTIFS('Base de Dados'!$X:$X,'Base de Dados'!$AK9,'Base de Dados'!$Q:$Q,$B19,'Base de Dados'!$G:$G,"x")</f>
        <v>16</v>
      </c>
      <c r="F24" s="223">
        <f>COUNTIFS('Base de Dados'!$X:$X,'Base de Dados'!$AK8,'Base de Dados'!$Q:$Q,$B19,'Base de Dados'!$G:$G,"x")</f>
        <v>0</v>
      </c>
      <c r="G24" s="223">
        <f>COUNTIFS('Base de Dados'!$X:$X,'Base de Dados'!$AK6,'Base de Dados'!$Q:$Q,$B19,'Base de Dados'!$G:$G,"x")</f>
        <v>2</v>
      </c>
      <c r="H24" s="223">
        <f>COUNTIFS('Base de Dados'!$X:$X,'Base de Dados'!$AK7,'Base de Dados'!$Q:$Q,$B19,'Base de Dados'!$G:$G,"x")</f>
        <v>4</v>
      </c>
      <c r="I24" s="231">
        <f>G24/(G24+H24)</f>
        <v>0.33333333333333331</v>
      </c>
      <c r="J24" s="227">
        <f t="shared" si="6"/>
        <v>0.72727272727272729</v>
      </c>
      <c r="K24">
        <f>COUNTIFS('Base de Dados'!$L:$L,'Base de Cálculo'!$K$9,'Base de Dados'!$Q:$Q,$B$19,'Base de Dados'!$G:$G,"x")</f>
        <v>17</v>
      </c>
      <c r="L24">
        <f>COUNTIFS('Base de Dados'!$L:$L,'Base de Cálculo'!L$9,'Base de Dados'!$Q:$Q,$B$19,'Base de Dados'!$G:$G,"x")</f>
        <v>1</v>
      </c>
      <c r="M24">
        <f>COUNTIFS('Base de Dados'!$L:$L,'Base de Cálculo'!M$9,'Base de Dados'!$Q:$Q,$B$19,'Base de Dados'!$G:$G,"x")</f>
        <v>4</v>
      </c>
      <c r="N24">
        <f>COUNTIFS('Base de Dados'!$K:$K,'Base de Cálculo'!N$19,'Base de Dados'!$Q:$Q,'Base de Cálculo'!$B$19,'Base de Dados'!$G:$G,"x")</f>
        <v>13</v>
      </c>
      <c r="O24">
        <f>COUNTIFS('Base de Dados'!$K:$K,'Base de Cálculo'!O$19,'Base de Dados'!$Q:$Q,'Base de Cálculo'!$B$19,'Base de Dados'!$G:$G,"x")</f>
        <v>3</v>
      </c>
      <c r="P24">
        <f>COUNTIFS('Base de Dados'!$V:$V,"&gt;=2",'Base de Dados'!$Q:$Q,'Base de Cálculo'!$B19,'Base de Dados'!$X:$X,"&lt;&gt;Rejeitado",'Base de Dados'!G:G,"X")</f>
        <v>5</v>
      </c>
      <c r="Q24">
        <f>COUNTIFS('Base de Dados'!$V:$V,"&lt;2",'Base de Dados'!$Q:$Q,'Base de Cálculo'!$B19,'Base de Dados'!$X:$X,"&lt;&gt;Rejeitado",'Base de Dados'!G:G,"X")</f>
        <v>1</v>
      </c>
      <c r="R24">
        <f>COUNTIFS('Base de Dados'!$AE:$AE,"1",'Base de Dados'!$Q:$Q,'Base de Cálculo'!$B$19,'Base de Dados'!$G:$G,"X")</f>
        <v>0</v>
      </c>
      <c r="S24">
        <f>COUNTIFS('Base de Dados'!$AE:$AE,"2",'Base de Dados'!$Q:$Q,'Base de Cálculo'!$B$19,'Base de Dados'!$G:$G,"X")</f>
        <v>1</v>
      </c>
      <c r="T24">
        <f>COUNTIFS('Base de Dados'!$AE:$AE,"3",'Base de Dados'!$Q:$Q,'Base de Cálculo'!$B$19,'Base de Dados'!$G:$G,"X")</f>
        <v>1</v>
      </c>
    </row>
    <row r="25" spans="2:22" ht="18">
      <c r="B25" s="216" t="s">
        <v>165</v>
      </c>
      <c r="C25" s="223">
        <f>COUNTIFS('Base de Dados'!H:H,"X",'Base de Dados'!Q:Q,'Base de Cálculo'!$B$19)</f>
        <v>28</v>
      </c>
      <c r="D25" s="223">
        <f t="shared" si="7"/>
        <v>5</v>
      </c>
      <c r="E25" s="223">
        <f>COUNTIFS('Base de Dados'!$X:$X,'Base de Dados'!$AK9,'Base de Dados'!$Q:$Q,$B19,'Base de Dados'!$H:$H,"x")</f>
        <v>23</v>
      </c>
      <c r="F25" s="223">
        <f>COUNTIFS('Base de Dados'!$X:$X,'Base de Dados'!$AK8,'Base de Dados'!$Q:$Q,$B19,'Base de Dados'!$H:$H,"x")</f>
        <v>0</v>
      </c>
      <c r="G25" s="223">
        <f>COUNTIFS('Base de Dados'!$X:$X,'Base de Dados'!$AK6,'Base de Dados'!$Q:$Q,$B19,'Base de Dados'!$H:$H,"x")</f>
        <v>1</v>
      </c>
      <c r="H25" s="223">
        <f>COUNTIFS('Base de Dados'!$X:$X,'Base de Dados'!$AK7,'Base de Dados'!$Q:$Q,$B19,'Base de Dados'!$H:$H,"x")</f>
        <v>4</v>
      </c>
      <c r="I25" s="231">
        <f t="shared" si="5"/>
        <v>0.2</v>
      </c>
      <c r="J25" s="227">
        <f t="shared" si="6"/>
        <v>0.8214285714285714</v>
      </c>
      <c r="K25">
        <f>COUNTIFS('Base de Dados'!$L:$L,'Base de Cálculo'!K$9,'Base de Dados'!$Q:$Q,$B$19,'Base de Dados'!$H:$H,"x")</f>
        <v>25</v>
      </c>
      <c r="L25">
        <f>COUNTIFS('Base de Dados'!$L:$L,'Base de Cálculo'!L$9,'Base de Dados'!$Q:$Q,$B$19,'Base de Dados'!$H:$H,"x")</f>
        <v>2</v>
      </c>
      <c r="M25">
        <f>COUNTIFS('Base de Dados'!$L:$L,'Base de Cálculo'!M$9,'Base de Dados'!$Q:$Q,$B$19,'Base de Dados'!$H:$H,"x")</f>
        <v>1</v>
      </c>
      <c r="N25">
        <f>COUNTIFS('Base de Dados'!$K:$K,'Base de Cálculo'!N$19,'Base de Dados'!$Q:$Q,'Base de Cálculo'!$B$19,'Base de Dados'!$H:$H,"x")</f>
        <v>14</v>
      </c>
      <c r="O25">
        <f>COUNTIFS('Base de Dados'!$K:$K,'Base de Cálculo'!O$19,'Base de Dados'!$Q:$Q,'Base de Cálculo'!$B$19,'Base de Dados'!$H:$H,"x")</f>
        <v>1</v>
      </c>
      <c r="P25">
        <f>COUNTIFS('Base de Dados'!$V:$V,"&gt;=2",'Base de Dados'!$Q:$Q,'Base de Cálculo'!$B19,'Base de Dados'!$X:$X,"&lt;&gt;Rejeitado",'Base de Dados'!H:H,"X")</f>
        <v>4</v>
      </c>
      <c r="Q25">
        <f>COUNTIFS('Base de Dados'!$V:$V,"&lt;2",'Base de Dados'!$Q:$Q,'Base de Cálculo'!$B19,'Base de Dados'!$X:$X,"&lt;&gt;Rejeitado",'Base de Dados'!H:H,"X")</f>
        <v>1</v>
      </c>
      <c r="R25">
        <f>COUNTIFS('Base de Dados'!$AE:$AE,"1",'Base de Dados'!$Q:$Q,'Base de Cálculo'!$B$19,'Base de Dados'!$H:$H,"X")</f>
        <v>0</v>
      </c>
      <c r="S25">
        <f>COUNTIFS('Base de Dados'!$AE:$AE,"2",'Base de Dados'!$Q:$Q,'Base de Cálculo'!$B$19,'Base de Dados'!$H:$H,"X")</f>
        <v>1</v>
      </c>
      <c r="T25">
        <f>COUNTIFS('Base de Dados'!$AE:$AE,"3",'Base de Dados'!$Q:$Q,'Base de Cálculo'!$B$19,'Base de Dados'!$H:$H,"X")</f>
        <v>0</v>
      </c>
    </row>
    <row r="26" spans="2:22" ht="18">
      <c r="B26" s="221">
        <v>360</v>
      </c>
      <c r="C26" s="223">
        <f>COUNTIFS('Base de Dados'!I:I,"X",'Base de Dados'!Q:Q,'Base de Cálculo'!$B$19)</f>
        <v>13</v>
      </c>
      <c r="D26" s="223">
        <f t="shared" si="7"/>
        <v>7</v>
      </c>
      <c r="E26" s="223">
        <f>COUNTIFS('Base de Dados'!X:X,'Base de Dados'!AK$9,'Base de Dados'!Q:Q,B$19,'Base de Dados'!I:I,"x")</f>
        <v>6</v>
      </c>
      <c r="F26" s="223">
        <f>COUNTIFS('Base de Dados'!Y:Y,'Base de Dados'!AH$10,'Base de Dados'!R:R,C$19,'Base de Dados'!J:J,"x")</f>
        <v>0</v>
      </c>
      <c r="G26" s="223">
        <f>COUNTIFS('Base de Dados'!I:I,"X",'Base de Dados'!Q:Q,'Base de Cálculo'!$B$19,'Base de Dados'!X:X,'Base de Dados'!$AK$6)</f>
        <v>3</v>
      </c>
      <c r="H26" s="223">
        <f>COUNTIFS('Base de Dados'!I:I,"X",'Base de Dados'!Q:Q,'Base de Cálculo'!$B$19,'Base de Dados'!X:X,'Base de Dados'!AK17)</f>
        <v>0</v>
      </c>
      <c r="I26" s="231">
        <f>G26/(G26+H26)</f>
        <v>1</v>
      </c>
      <c r="J26" s="227">
        <f t="shared" si="6"/>
        <v>0.46153846153846156</v>
      </c>
      <c r="K26">
        <f>COUNTIFS('Base de Dados'!$L:$L,'Base de Cálculo'!K$9,'Base de Dados'!$Q:$Q,$B$19,'Base de Dados'!$I:$I,"x")</f>
        <v>8</v>
      </c>
      <c r="L26">
        <f>COUNTIFS('Base de Dados'!$L:$L,'Base de Cálculo'!L$9,'Base de Dados'!$Q:$Q,$B$19,'Base de Dados'!$I:$I,"x")</f>
        <v>0</v>
      </c>
      <c r="M26">
        <f>COUNTIFS('Base de Dados'!$L:$L,'Base de Cálculo'!M$9,'Base de Dados'!$Q:$Q,$B$19,'Base de Dados'!$I:$I,"x")</f>
        <v>5</v>
      </c>
      <c r="N26">
        <f>COUNTIFS('Base de Dados'!$K:$K,'Base de Cálculo'!N$19,'Base de Dados'!$Q:$Q,'Base de Cálculo'!$B$19,'Base de Dados'!$I:$I,"x")</f>
        <v>3</v>
      </c>
      <c r="O26">
        <f>COUNTIFS('Base de Dados'!$K:$K,'Base de Cálculo'!O$19,'Base de Dados'!$Q:$Q,'Base de Cálculo'!$B$19,'Base de Dados'!$I:$I,"x")</f>
        <v>8</v>
      </c>
      <c r="P26">
        <f>COUNTIFS('Base de Dados'!$V:$V,"&gt;=2",'Base de Dados'!$Q:$Q,'Base de Cálculo'!$B19,'Base de Dados'!$X:$X,"&lt;&gt;Rejeitado",'Base de Dados'!I:I,"X")</f>
        <v>7</v>
      </c>
      <c r="Q26">
        <f>COUNTIFS('Base de Dados'!$V:$V,"&lt;2",'Base de Dados'!$Q:$Q,'Base de Cálculo'!$B19,'Base de Dados'!$X:$X,"&lt;&gt;Rejeitado",'Base de Dados'!I:I,"X")</f>
        <v>0</v>
      </c>
      <c r="R26">
        <f>COUNTIFS('Base de Dados'!$AE:$AE,"1",'Base de Dados'!$Q:$Q,'Base de Cálculo'!$B$19,'Base de Dados'!$I:$I,"X")</f>
        <v>2</v>
      </c>
      <c r="S26">
        <f>COUNTIFS('Base de Dados'!$AE:$AE,"2",'Base de Dados'!$Q:$Q,'Base de Cálculo'!$B$19,'Base de Dados'!$I:$I,"X")</f>
        <v>1</v>
      </c>
      <c r="T26">
        <f>COUNTIFS('Base de Dados'!$AE:$AE,"3",'Base de Dados'!$Q:$Q,'Base de Cálculo'!$B$19,'Base de Dados'!$I:$I,"X")</f>
        <v>0</v>
      </c>
    </row>
    <row r="27" spans="2:22" ht="18">
      <c r="B27" s="216" t="s">
        <v>656</v>
      </c>
      <c r="C27">
        <f>COUNTIFS('Base de Dados'!J:J,"&gt;=3",'Base de Dados'!Q:Q,'Base de Cálculo'!$B$19)</f>
        <v>11</v>
      </c>
      <c r="D27" s="223">
        <f>G27+H27</f>
        <v>5</v>
      </c>
      <c r="E27" s="223">
        <f>COUNTIFS('Base de Dados'!$X:$X,'Base de Dados'!$AK9,'Base de Dados'!$Q:$Q,$B19,'Base de Dados'!$J:$J,"&gt;=3")</f>
        <v>6</v>
      </c>
      <c r="F27" s="223">
        <f>COUNTIFS('Base de Dados'!$X:$X,'Base de Dados'!$AK8,'Base de Dados'!$Q:$Q,$B19,'Base de Dados'!$J:$J,"&gt;=3")</f>
        <v>0</v>
      </c>
      <c r="G27" s="223">
        <f>COUNTIFS('Base de Dados'!$X:$X,'Base de Dados'!$AK6,'Base de Dados'!$Q:$Q,$B19,'Base de Dados'!$J:$J,"&gt;=3")</f>
        <v>1</v>
      </c>
      <c r="H27" s="223">
        <f>COUNTIFS('Base de Dados'!$X:$X,'Base de Dados'!$AK7,'Base de Dados'!$Q:$Q,$B19,'Base de Dados'!$J:$J,"&gt;=3")</f>
        <v>4</v>
      </c>
      <c r="I27" s="231">
        <f t="shared" si="5"/>
        <v>0.2</v>
      </c>
      <c r="J27" s="227">
        <f t="shared" si="6"/>
        <v>0.54545454545454541</v>
      </c>
      <c r="K27">
        <f>COUNTIFS('Base de Dados'!$L:$L,'Base de Cálculo'!K$9,'Base de Dados'!$Q:$Q,$B$19,'Base de Dados'!$J:$J,"&gt;=3")</f>
        <v>6</v>
      </c>
      <c r="L27">
        <f>COUNTIFS('Base de Dados'!$L:$L,'Base de Cálculo'!L$9,'Base de Dados'!$Q:$Q,$B$19,'Base de Dados'!$J:$J,"&gt;=3")</f>
        <v>1</v>
      </c>
      <c r="M27">
        <f>COUNTIFS('Base de Dados'!$L:$L,'Base de Cálculo'!M$9,'Base de Dados'!$Q:$Q,$B$19,'Base de Dados'!$J:$J,"&gt;=3")</f>
        <v>4</v>
      </c>
      <c r="N27">
        <f>COUNTIFS('Base de Dados'!$K:$K,'Base de Cálculo'!N$19,'Base de Dados'!$Q:$Q,'Base de Cálculo'!$B$19,'Base de Dados'!$J:$J,"&gt;=3")</f>
        <v>5</v>
      </c>
      <c r="O27">
        <f>COUNTIFS('Base de Dados'!$K:$K,'Base de Cálculo'!O$19,'Base de Dados'!$Q:$Q,'Base de Cálculo'!$B$19,'Base de Dados'!$J:$J,"&gt;=3")</f>
        <v>1</v>
      </c>
      <c r="P27">
        <f>COUNTIFS('Base de Dados'!$V:$V,"&gt;=2",'Base de Dados'!$Q:$Q,'Base de Cálculo'!$B19,'Base de Dados'!$X:$X,"&lt;&gt;Rejeitado",'Base de Dados'!$J:$J,"&gt;=3")</f>
        <v>4</v>
      </c>
      <c r="Q27">
        <f>COUNTIFS('Base de Dados'!$V:$V,"&lt;2",'Base de Dados'!$Q:$Q,'Base de Cálculo'!$B19,'Base de Dados'!$X:$X,"&lt;&gt;Rejeitado",'Base de Dados'!$J:$J,"&gt;=3")</f>
        <v>1</v>
      </c>
      <c r="R27">
        <f>COUNTIFS('Base de Dados'!$AE:$AE,"1",'Base de Dados'!$Q:$Q,'Base de Cálculo'!$B$19,'Base de Dados'!$J:$J,"&gt;=3")</f>
        <v>0</v>
      </c>
      <c r="S27">
        <f>COUNTIFS('Base de Dados'!$AE:$AE,"2",'Base de Dados'!$Q:$Q,'Base de Cálculo'!$B$19,'Base de Dados'!$J:$J,"&gt;=3")</f>
        <v>1</v>
      </c>
      <c r="T27">
        <f>COUNTIFS('Base de Dados'!$AE:$AE,"3",'Base de Dados'!$Q:$Q,'Base de Cálculo'!$B$19,'Base de Dados'!$J:$J,"&gt;=3")</f>
        <v>0</v>
      </c>
    </row>
    <row r="29" spans="2:22">
      <c r="B29" s="226">
        <v>2026</v>
      </c>
      <c r="C29" s="223" t="s">
        <v>60</v>
      </c>
      <c r="D29" s="223" t="s">
        <v>50</v>
      </c>
      <c r="E29" s="223" t="s">
        <v>301</v>
      </c>
      <c r="F29" s="223" t="s">
        <v>645</v>
      </c>
      <c r="G29" s="223" t="s">
        <v>309</v>
      </c>
      <c r="H29" s="223" t="s">
        <v>54</v>
      </c>
      <c r="I29" s="223" t="s">
        <v>646</v>
      </c>
      <c r="J29" s="223" t="s">
        <v>647</v>
      </c>
      <c r="K29" s="276" t="s">
        <v>25</v>
      </c>
      <c r="L29" s="276" t="s">
        <v>509</v>
      </c>
      <c r="M29" s="276" t="s">
        <v>20</v>
      </c>
      <c r="N29" s="276" t="s">
        <v>315</v>
      </c>
      <c r="O29" s="276" t="s">
        <v>28</v>
      </c>
      <c r="P29" s="223" t="s">
        <v>648</v>
      </c>
      <c r="Q29" s="223" t="s">
        <v>649</v>
      </c>
      <c r="R29" s="238" t="s">
        <v>650</v>
      </c>
      <c r="S29" s="238" t="s">
        <v>651</v>
      </c>
      <c r="T29" s="238" t="s">
        <v>652</v>
      </c>
      <c r="U29" s="238" t="s">
        <v>653</v>
      </c>
      <c r="V29" s="238" t="s">
        <v>654</v>
      </c>
    </row>
    <row r="30" spans="2:22" ht="19">
      <c r="B30" s="234" t="s">
        <v>655</v>
      </c>
      <c r="C30" s="235">
        <f>COUNTIF('Base de Dados'!Q:Q,"2026")</f>
        <v>47</v>
      </c>
      <c r="D30" s="230">
        <f>COUNTIFS('Base de Dados'!$X:$X,'Base de Dados'!$AK6,'Base de Dados'!$Q:$Q,$B29)+COUNTIFS('Base de Dados'!$X:$X,'Base de Dados'!$AK7,'Base de Dados'!$Q:$Q,$B29)+COUNTIFS('Base de Dados'!$X:$X,'Base de Dados'!$AK8,'Base de Dados'!$Q:$Q,$B29)</f>
        <v>10</v>
      </c>
      <c r="E30" s="236">
        <f>COUNTIFS('Base de Dados'!X:X,'Base de Dados'!AK9,'Base de Dados'!Q:Q,B29)</f>
        <v>37</v>
      </c>
      <c r="F30" s="236">
        <f>COUNTIFS('Base de Dados'!$X:$X,'Base de Dados'!$AK8,'Base de Dados'!$Q:$Q,$B29)</f>
        <v>4</v>
      </c>
      <c r="G30" s="235">
        <f>COUNTIFS('Base de Dados'!X:X,'Base de Dados'!AK6,'Base de Dados'!Q:Q,B29)</f>
        <v>4</v>
      </c>
      <c r="H30" s="235">
        <f>COUNTIFS('Base de Dados'!X:X,'Base de Dados'!AK7,'Base de Dados'!Q:Q,B29)</f>
        <v>2</v>
      </c>
      <c r="I30" s="231">
        <f>G30/(G30+H30)</f>
        <v>0.66666666666666663</v>
      </c>
      <c r="J30" s="237">
        <f>E30/C30</f>
        <v>0.78723404255319152</v>
      </c>
      <c r="K30" s="235">
        <f>COUNTIFS('Base de Dados'!L:L,'Base de Cálculo'!K29,'Base de Dados'!Q:Q,B$29)</f>
        <v>15</v>
      </c>
      <c r="L30" s="235">
        <f>COUNTIFS('Base de Dados'!L:L,'Base de Cálculo'!L29,'Base de Dados'!Q:Q,B$29)</f>
        <v>0</v>
      </c>
      <c r="M30" s="235">
        <f>COUNTIFS('Base de Dados'!L:L,'Base de Cálculo'!M29,'Base de Dados'!Q:Q,B$29)</f>
        <v>11</v>
      </c>
      <c r="N30" s="235">
        <f>COUNTIFS('Base de Dados'!$K:$K,'Base de Cálculo'!$N29,'Base de Dados'!$Q:$Q,$B29)</f>
        <v>32</v>
      </c>
      <c r="O30" s="235">
        <f>COUNTIFS('Base de Dados'!$K:$K,'Base de Cálculo'!$O29,'Base de Dados'!$Q:$Q,$B29)</f>
        <v>15</v>
      </c>
      <c r="P30" s="233">
        <f>COUNTIFS('Base de Dados'!$V:$V,"&gt;=2",'Base de Dados'!$Q:$Q,'Base de Cálculo'!$B29,'Base de Dados'!$X:$X,"&lt;&gt;Rejeitado")</f>
        <v>10</v>
      </c>
      <c r="Q30" s="233">
        <f>COUNTIFS('Base de Dados'!$V:$V,"&lt;2",'Base de Dados'!$Q:$Q,'Base de Cálculo'!$B29,'Base de Dados'!$X:$X,"&lt;&gt;Rejeitado")</f>
        <v>0</v>
      </c>
      <c r="R30" s="233">
        <f>COUNTIFS('Base de Dados'!$AE:$AE,"1",'Base de Dados'!$Q:$Q,'Base de Cálculo'!$B$29)</f>
        <v>1</v>
      </c>
      <c r="S30" s="233">
        <f>COUNTIFS('Base de Dados'!$AE:$AE,"2",'Base de Dados'!$Q:$Q,'Base de Cálculo'!$B$29)</f>
        <v>2</v>
      </c>
      <c r="T30" s="233">
        <f>COUNTIFS('Base de Dados'!$AE:$AE,"3",'Base de Dados'!$Q:$Q,'Base de Cálculo'!$B$29)</f>
        <v>1</v>
      </c>
      <c r="U30" s="259">
        <f>SUMIFS('Base de Dados'!$M:$M,'Base de Dados'!$X:$X,'Base de Dados'!$AK6,'Base de Dados'!$Q:$Q,'Base de Cálculo'!$B29)</f>
        <v>37420</v>
      </c>
      <c r="V30" s="264">
        <f>U30/G30</f>
        <v>9355</v>
      </c>
    </row>
    <row r="31" spans="2:22" ht="18">
      <c r="B31" s="216" t="s">
        <v>27</v>
      </c>
      <c r="C31" s="222">
        <f>COUNTIFS('Base de Dados'!D:D,"X",'Base de Dados'!Q:Q,'Base de Cálculo'!B29)</f>
        <v>12</v>
      </c>
      <c r="D31" s="223">
        <f t="shared" ref="D31:D32" si="8">C31-E31</f>
        <v>2</v>
      </c>
      <c r="E31" s="223">
        <f>COUNTIFS('Base de Dados'!$X:$X,'Base de Dados'!$AK9,'Base de Dados'!$Q:$Q,$B29,'Base de Dados'!$D:$D,"x")</f>
        <v>10</v>
      </c>
      <c r="F31" s="223">
        <f>COUNTIFS('Base de Dados'!$X:$X,'Base de Dados'!$AK8,'Base de Dados'!$Q:$Q,$B29,'Base de Dados'!$D:$D,"x")</f>
        <v>0</v>
      </c>
      <c r="G31" s="223">
        <f>COUNTIFS('Base de Dados'!$X:$X,'Base de Dados'!$AK6,'Base de Dados'!$Q:$Q,$B29,'Base de Dados'!$D:$D,"x")</f>
        <v>2</v>
      </c>
      <c r="H31" s="223">
        <f>COUNTIFS('Base de Dados'!$X:$X,'Base de Dados'!$AK7,'Base de Dados'!$Q:$Q,$B29,'Base de Dados'!$D:$D,"x")</f>
        <v>0</v>
      </c>
      <c r="I31" s="231">
        <f t="shared" ref="I31:I35" si="9">G31/(G31+H31)</f>
        <v>1</v>
      </c>
      <c r="J31" s="227">
        <f>E31/C31</f>
        <v>0.83333333333333337</v>
      </c>
      <c r="K31">
        <f>COUNTIFS('Base de Dados'!L:L,'Base de Cálculo'!K29,'Base de Dados'!Q:Q,B$29,'Base de Dados'!$D:$D,"x")</f>
        <v>3</v>
      </c>
      <c r="L31">
        <f>COUNTIFS('Base de Dados'!L:L,'Base de Cálculo'!L29,'Base de Dados'!Q:Q,B$29,'Base de Dados'!$D:$D,"x")</f>
        <v>0</v>
      </c>
      <c r="M31">
        <f>COUNTIFS('Base de Dados'!L:L,'Base de Cálculo'!M29,'Base de Dados'!Q:Q,B$29,'Base de Dados'!$D:$D,"x")</f>
        <v>3</v>
      </c>
      <c r="N31">
        <f>COUNTIFS('Base de Dados'!$K:$K,'Base de Cálculo'!$N29,'Base de Dados'!$Q:$Q,'Base de Cálculo'!$B29,'Base de Dados'!$D:$D,"x")</f>
        <v>11</v>
      </c>
      <c r="O31">
        <f>COUNTIFS('Base de Dados'!$K:$K,'Base de Cálculo'!$O29,'Base de Dados'!$Q:$Q,'Base de Cálculo'!$B29,'Base de Dados'!$D:$D,"x")</f>
        <v>1</v>
      </c>
      <c r="P31">
        <f>COUNTIFS('Base de Dados'!$V:$V,"&gt;=2",'Base de Dados'!$Q:$Q,'Base de Cálculo'!$B29,'Base de Dados'!$X:$X,"&lt;&gt;Rejeitado",'Base de Dados'!D:D,"X")</f>
        <v>2</v>
      </c>
      <c r="Q31">
        <f>COUNTIFS('Base de Dados'!$V:$V,"&lt;2",'Base de Dados'!$Q:$Q,'Base de Cálculo'!$B29,'Base de Dados'!$X:$X,"&lt;&gt;Rejeitado",'Base de Dados'!D:D,"X")</f>
        <v>0</v>
      </c>
      <c r="R31">
        <f>COUNTIFS('Base de Dados'!$AE:$AE,"1",'Base de Dados'!$Q:$Q,'Base de Cálculo'!$B$29,'Base de Dados'!$D:$D,"X")</f>
        <v>1</v>
      </c>
      <c r="S31">
        <f>COUNTIFS('Base de Dados'!$AE:$AE,"2",'Base de Dados'!$Q:$Q,'Base de Cálculo'!$B$29,'Base de Dados'!$D:$D,"X")</f>
        <v>1</v>
      </c>
      <c r="T31">
        <f>COUNTIFS('Base de Dados'!$AE:$AE,"3",'Base de Dados'!$Q:$Q,'Base de Cálculo'!$B$29,'Base de Dados'!$D:$D,"X")</f>
        <v>0</v>
      </c>
    </row>
    <row r="32" spans="2:22" ht="18">
      <c r="B32" s="216" t="s">
        <v>32</v>
      </c>
      <c r="C32" s="223">
        <f>COUNTIFS('Base de Dados'!E:E,"X",'Base de Dados'!Q:Q,'Base de Cálculo'!$B$29)</f>
        <v>16</v>
      </c>
      <c r="D32" s="223">
        <f t="shared" si="8"/>
        <v>5</v>
      </c>
      <c r="E32" s="223">
        <f>COUNTIFS('Base de Dados'!$X:$X,'Base de Dados'!$AK9,'Base de Dados'!$Q:$Q,$B29,'Base de Dados'!$E:$E,"x")</f>
        <v>11</v>
      </c>
      <c r="F32" s="223">
        <f>COUNTIFS('Base de Dados'!$X:$X,'Base de Dados'!$AK8,'Base de Dados'!$Q:$Q,$B29,'Base de Dados'!$E:$E,"x")</f>
        <v>2</v>
      </c>
      <c r="G32" s="223">
        <f>COUNTIFS('Base de Dados'!$X:$X,'Base de Dados'!$AK6,'Base de Dados'!$Q:$Q,$B29,'Base de Dados'!$E:$E,"x")</f>
        <v>2</v>
      </c>
      <c r="H32" s="223">
        <f>COUNTIFS('Base de Dados'!$X:$X,'Base de Dados'!$AK7,'Base de Dados'!$Q:$Q,$B29,'Base de Dados'!$E:$E,"x")</f>
        <v>1</v>
      </c>
      <c r="I32" s="231">
        <f t="shared" si="9"/>
        <v>0.66666666666666663</v>
      </c>
      <c r="J32" s="227">
        <f t="shared" ref="J32:J37" si="10">E32/C32</f>
        <v>0.6875</v>
      </c>
      <c r="K32">
        <f>COUNTIFS('Base de Dados'!L:L,'Base de Cálculo'!K29,'Base de Dados'!Q:Q,B$29,'Base de Dados'!$E:$E,"x")</f>
        <v>6</v>
      </c>
      <c r="L32">
        <f>COUNTIFS('Base de Dados'!L:L,'Base de Cálculo'!L29,'Base de Dados'!Q:Q,B$29,'Base de Dados'!$E:$E,"x")</f>
        <v>0</v>
      </c>
      <c r="M32">
        <f>COUNTIFS('Base de Dados'!L:L,'Base de Cálculo'!M29,'Base de Dados'!Q:Q,B$29,'Base de Dados'!$E:$E,"x")</f>
        <v>6</v>
      </c>
      <c r="N32">
        <f>COUNTIFS('Base de Dados'!$K:$K,'Base de Cálculo'!N$19,'Base de Dados'!$Q:$Q,'Base de Cálculo'!$B$29,'Base de Dados'!$E:$E,"x")</f>
        <v>0</v>
      </c>
      <c r="O32">
        <f>COUNTIFS('Base de Dados'!$K:$K,'Base de Cálculo'!O$29,'Base de Dados'!$Q:$Q,'Base de Cálculo'!$B$29,'Base de Dados'!$E:$E,"x")</f>
        <v>2</v>
      </c>
      <c r="P32">
        <f>COUNTIFS('Base de Dados'!$V:$V,"&gt;=2",'Base de Dados'!$Q:$Q,'Base de Cálculo'!$B29,'Base de Dados'!$X:$X,"&lt;&gt;Rejeitado",'Base de Dados'!E:E,"X")</f>
        <v>5</v>
      </c>
      <c r="Q32">
        <f>COUNTIFS('Base de Dados'!$V:$V,"&lt;2",'Base de Dados'!$Q:$Q,'Base de Cálculo'!$B29,'Base de Dados'!$X:$X,"&lt;&gt;Rejeitado",'Base de Dados'!E:E,"X")</f>
        <v>0</v>
      </c>
      <c r="R32">
        <f>COUNTIFS('Base de Dados'!$AE:$AE,"1",'Base de Dados'!$Q:$Q,'Base de Cálculo'!$B$29,'Base de Dados'!$E:$E,"X")</f>
        <v>1</v>
      </c>
      <c r="S32">
        <f>COUNTIFS('Base de Dados'!$AE:$AE,"2",'Base de Dados'!$Q:$Q,'Base de Cálculo'!$B$29,'Base de Dados'!$E:$E,"X")</f>
        <v>1</v>
      </c>
      <c r="T32">
        <f>COUNTIFS('Base de Dados'!$AE:$AE,"3",'Base de Dados'!$Q:$Q,'Base de Cálculo'!$B$29,'Base de Dados'!$E:$E,"X")</f>
        <v>0</v>
      </c>
    </row>
    <row r="33" spans="2:21" ht="18">
      <c r="B33" s="216" t="s">
        <v>87</v>
      </c>
      <c r="C33" s="223">
        <f>COUNTIFS('Base de Dados'!F:F,"X",'Base de Dados'!Q:Q,'Base de Cálculo'!$B$29)</f>
        <v>19</v>
      </c>
      <c r="D33" s="223">
        <f>C33-E33</f>
        <v>1</v>
      </c>
      <c r="E33" s="223">
        <f>COUNTIFS('Base de Dados'!$X:$X,'Base de Dados'!$AK9,'Base de Dados'!$Q:$Q,$B29,'Base de Dados'!$F:$F,"x")</f>
        <v>18</v>
      </c>
      <c r="F33" s="223">
        <f>COUNTIFS('Base de Dados'!$X:$X,'Base de Dados'!$AK8,'Base de Dados'!$Q:$Q,$B29,'Base de Dados'!$F:$F,"x")</f>
        <v>0</v>
      </c>
      <c r="G33" s="223">
        <f>COUNTIFS('Base de Dados'!$X:$X,'Base de Dados'!$AK6,'Base de Dados'!$Q:$Q,$B29,'Base de Dados'!$F:$F,"x")</f>
        <v>1</v>
      </c>
      <c r="H33" s="223">
        <f>COUNTIFS('Base de Dados'!$X:$X,'Base de Dados'!$AK7,'Base de Dados'!$Q:$Q,$B29,'Base de Dados'!$F:$F,"x")</f>
        <v>0</v>
      </c>
      <c r="I33" s="231">
        <f t="shared" si="9"/>
        <v>1</v>
      </c>
      <c r="J33" s="227">
        <f t="shared" si="10"/>
        <v>0.94736842105263153</v>
      </c>
      <c r="K33">
        <f>COUNTIFS('Base de Dados'!L:L,'Base de Cálculo'!K29,'Base de Dados'!Q:Q,B$29,'Base de Dados'!$F:$F,"x")</f>
        <v>5</v>
      </c>
      <c r="L33">
        <f>COUNTIFS('Base de Dados'!L:L,'Base de Cálculo'!L29,'Base de Dados'!Q:Q,B$29,'Base de Dados'!$F:$F,"x")</f>
        <v>0</v>
      </c>
      <c r="M33">
        <f>COUNTIFS('Base de Dados'!L:L,'Base de Cálculo'!M29,'Base de Dados'!Q:Q,B$29,'Base de Dados'!$F:$F,"x")</f>
        <v>3</v>
      </c>
      <c r="N33">
        <f>COUNTIFS('Base de Dados'!$K:$K,'Base de Cálculo'!N$19,'Base de Dados'!$Q:$Q,'Base de Cálculo'!$B$29,'Base de Dados'!$F:$F,"x")</f>
        <v>0</v>
      </c>
      <c r="O33">
        <f>COUNTIFS('Base de Dados'!$K:$K,'Base de Cálculo'!O$29,'Base de Dados'!$Q:$Q,'Base de Cálculo'!$B$29,'Base de Dados'!$F:$F,"x")</f>
        <v>11</v>
      </c>
      <c r="P33">
        <f>COUNTIFS('Base de Dados'!$V:$V,"&gt;=2",'Base de Dados'!$Q:$Q,'Base de Cálculo'!$B29,'Base de Dados'!$X:$X,"&lt;&gt;Rejeitado",'Base de Dados'!F:F,"X")</f>
        <v>1</v>
      </c>
      <c r="Q33">
        <f>COUNTIFS('Base de Dados'!$V:$V,"&lt;2",'Base de Dados'!$Q:$Q,'Base de Cálculo'!$B29,'Base de Dados'!$X:$X,"&lt;&gt;Rejeitado",'Base de Dados'!F:F,"X")</f>
        <v>0</v>
      </c>
      <c r="R33">
        <f>COUNTIFS('Base de Dados'!$AE:$AE,"1",'Base de Dados'!$Q:$Q,'Base de Cálculo'!$B$29,'Base de Dados'!$F:$F,"X")</f>
        <v>0</v>
      </c>
      <c r="S33">
        <f>COUNTIFS('Base de Dados'!$AE:$AE,"2",'Base de Dados'!$Q:$Q,'Base de Cálculo'!$B$29,'Base de Dados'!$F:$F,"X")</f>
        <v>1</v>
      </c>
      <c r="T33">
        <f>COUNTIFS('Base de Dados'!$AE:$AE,"3",'Base de Dados'!$Q:$Q,'Base de Cálculo'!$B$29,'Base de Dados'!$F:$F,"X")</f>
        <v>0</v>
      </c>
    </row>
    <row r="34" spans="2:21" ht="18">
      <c r="B34" s="216" t="s">
        <v>77</v>
      </c>
      <c r="C34" s="223">
        <f>COUNTIFS('Base de Dados'!G:G,"X",'Base de Dados'!Q:Q,'Base de Cálculo'!$B$29)</f>
        <v>14</v>
      </c>
      <c r="D34" s="223">
        <f t="shared" ref="D34:D36" si="11">C34-E34</f>
        <v>2</v>
      </c>
      <c r="E34" s="223">
        <f>COUNTIFS('Base de Dados'!$X:$X,'Base de Dados'!$AK9,'Base de Dados'!$Q:$Q,$B29,'Base de Dados'!$G:$G,"x")</f>
        <v>12</v>
      </c>
      <c r="F34" s="223">
        <f>COUNTIFS('Base de Dados'!$X:$X,'Base de Dados'!$AK8,'Base de Dados'!$Q:$Q,$B29,'Base de Dados'!$G:$G,"x")</f>
        <v>1</v>
      </c>
      <c r="G34" s="223">
        <f>COUNTIFS('Base de Dados'!$X:$X,'Base de Dados'!$AK6,'Base de Dados'!$Q:$Q,$B29,'Base de Dados'!$G:$G,"x")</f>
        <v>0</v>
      </c>
      <c r="H34" s="223">
        <f>COUNTIFS('Base de Dados'!$X:$X,'Base de Dados'!$AK7,'Base de Dados'!$Q:$Q,$B29,'Base de Dados'!$G:$G,"x")</f>
        <v>1</v>
      </c>
      <c r="I34" s="231">
        <f t="shared" si="9"/>
        <v>0</v>
      </c>
      <c r="J34" s="227">
        <f t="shared" si="10"/>
        <v>0.8571428571428571</v>
      </c>
      <c r="K34">
        <f>COUNTIFS('Base de Dados'!$L:$L,'Base de Cálculo'!$K$9,'Base de Dados'!$Q:$Q,$B$29,'Base de Dados'!$G:$G,"x")</f>
        <v>6</v>
      </c>
      <c r="L34">
        <f>COUNTIFS('Base de Dados'!$L:$L,'Base de Cálculo'!L$9,'Base de Dados'!$Q:$Q,$B$29,'Base de Dados'!$G:$G,"x")</f>
        <v>0</v>
      </c>
      <c r="M34">
        <f>COUNTIFS('Base de Dados'!$L:$L,'Base de Cálculo'!M$9,'Base de Dados'!$Q:$Q,$B$29,'Base de Dados'!$G:$G,"x")</f>
        <v>2</v>
      </c>
      <c r="N34">
        <f>COUNTIFS('Base de Dados'!$K:$K,'Base de Cálculo'!N$19,'Base de Dados'!$Q:$Q,'Base de Cálculo'!$B$29,'Base de Dados'!$G:$G,"x")</f>
        <v>0</v>
      </c>
      <c r="O34">
        <f>COUNTIFS('Base de Dados'!$K:$K,'Base de Cálculo'!O$29,'Base de Dados'!$Q:$Q,'Base de Cálculo'!$B$29,'Base de Dados'!$G:$G,"x")</f>
        <v>6</v>
      </c>
      <c r="P34">
        <f>COUNTIFS('Base de Dados'!$V:$V,"&gt;=2",'Base de Dados'!$Q:$Q,'Base de Cálculo'!$B29,'Base de Dados'!$X:$X,"&lt;&gt;Rejeitado",'Base de Dados'!G:G,"X")</f>
        <v>2</v>
      </c>
      <c r="Q34">
        <f>COUNTIFS('Base de Dados'!$V:$V,"&lt;2",'Base de Dados'!$Q:$Q,'Base de Cálculo'!$B29,'Base de Dados'!$X:$X,"&lt;&gt;Rejeitado",'Base de Dados'!G:G,"X")</f>
        <v>0</v>
      </c>
      <c r="R34">
        <f>COUNTIFS('Base de Dados'!$AE:$AE,"1",'Base de Dados'!$Q:$Q,'Base de Cálculo'!$B$29,'Base de Dados'!$G:$G,"X")</f>
        <v>0</v>
      </c>
      <c r="S34">
        <f>COUNTIFS('Base de Dados'!$AE:$AE,"2",'Base de Dados'!$Q:$Q,'Base de Cálculo'!$B$29,'Base de Dados'!$G:$G,"X")</f>
        <v>0</v>
      </c>
      <c r="T34">
        <f>COUNTIFS('Base de Dados'!$AE:$AE,"3",'Base de Dados'!$Q:$Q,'Base de Cálculo'!$B$29,'Base de Dados'!$G:$G,"X")</f>
        <v>0</v>
      </c>
    </row>
    <row r="35" spans="2:21" ht="18">
      <c r="B35" s="216" t="s">
        <v>165</v>
      </c>
      <c r="C35" s="223">
        <f>COUNTIFS('Base de Dados'!H:H,"X",'Base de Dados'!Q:Q,'Base de Cálculo'!$B$29)</f>
        <v>14</v>
      </c>
      <c r="D35" s="223">
        <f t="shared" si="11"/>
        <v>6</v>
      </c>
      <c r="E35" s="223">
        <f>COUNTIFS('Base de Dados'!$X:$X,'Base de Dados'!$AK9,'Base de Dados'!$Q:$Q,$B29,'Base de Dados'!$H:$H,"x")</f>
        <v>8</v>
      </c>
      <c r="F35" s="223">
        <f>COUNTIFS('Base de Dados'!$X:$X,'Base de Dados'!$AK8,'Base de Dados'!$Q:$Q,$B29,'Base de Dados'!$H:$H,"x")</f>
        <v>2</v>
      </c>
      <c r="G35" s="223">
        <f>COUNTIFS('Base de Dados'!$X:$X,'Base de Dados'!$AK6,'Base de Dados'!$Q:$Q,$B29,'Base de Dados'!$H:$H,"x")</f>
        <v>3</v>
      </c>
      <c r="H35" s="223">
        <f>COUNTIFS('Base de Dados'!$X:$X,'Base de Dados'!$AK7,'Base de Dados'!$Q:$Q,$B29,'Base de Dados'!$H:$H,"x")</f>
        <v>1</v>
      </c>
      <c r="I35" s="231">
        <f t="shared" si="9"/>
        <v>0.75</v>
      </c>
      <c r="J35" s="227">
        <f t="shared" si="10"/>
        <v>0.5714285714285714</v>
      </c>
      <c r="K35">
        <f>COUNTIFS('Base de Dados'!$L:$L,'Base de Cálculo'!K$9,'Base de Dados'!$Q:$Q,$B$29,'Base de Dados'!$H:$H,"x")</f>
        <v>7</v>
      </c>
      <c r="L35">
        <f>COUNTIFS('Base de Dados'!$L:$L,'Base de Cálculo'!L$9,'Base de Dados'!$Q:$Q,$B$29,'Base de Dados'!$H:$H,"x")</f>
        <v>0</v>
      </c>
      <c r="M35">
        <f>COUNTIFS('Base de Dados'!$L:$L,'Base de Cálculo'!M$9,'Base de Dados'!$Q:$Q,$B$29,'Base de Dados'!$H:$H,"x")</f>
        <v>3</v>
      </c>
      <c r="N35">
        <f>COUNTIFS('Base de Dados'!$K:$K,'Base de Cálculo'!N$19,'Base de Dados'!$Q:$Q,'Base de Cálculo'!$B$29,'Base de Dados'!$H:$H,"x")</f>
        <v>0</v>
      </c>
      <c r="O35">
        <f>COUNTIFS('Base de Dados'!$K:$K,'Base de Cálculo'!O$29,'Base de Dados'!$Q:$Q,'Base de Cálculo'!$B$29,'Base de Dados'!$H:$H,"x")</f>
        <v>0</v>
      </c>
      <c r="P35">
        <f>COUNTIFS('Base de Dados'!$V:$V,"&gt;=2",'Base de Dados'!$Q:$Q,'Base de Cálculo'!$B29,'Base de Dados'!$X:$X,"&lt;&gt;Rejeitado",'Base de Dados'!H:H,"X")</f>
        <v>6</v>
      </c>
      <c r="Q35">
        <f>COUNTIFS('Base de Dados'!$V:$V,"&lt;2",'Base de Dados'!$Q:$Q,'Base de Cálculo'!$B29,'Base de Dados'!$X:$X,"&lt;&gt;Rejeitado",'Base de Dados'!H:H,"X")</f>
        <v>0</v>
      </c>
      <c r="R35">
        <f>COUNTIFS('Base de Dados'!$AE:$AE,"1",'Base de Dados'!$Q:$Q,'Base de Cálculo'!$B$29,'Base de Dados'!$H:$H,"X")</f>
        <v>1</v>
      </c>
      <c r="S35">
        <f>COUNTIFS('Base de Dados'!$AE:$AE,"2",'Base de Dados'!$Q:$Q,'Base de Cálculo'!$B$29,'Base de Dados'!$H:$H,"X")</f>
        <v>1</v>
      </c>
      <c r="T35">
        <f>COUNTIFS('Base de Dados'!$AE:$AE,"3",'Base de Dados'!$Q:$Q,'Base de Cálculo'!$B$29,'Base de Dados'!$H:$H,"X")</f>
        <v>1</v>
      </c>
    </row>
    <row r="36" spans="2:21" ht="18">
      <c r="B36" s="221">
        <v>360</v>
      </c>
      <c r="C36" s="223">
        <f>COUNTIFS('Base de Dados'!I:I,"X",'Base de Dados'!Q:Q,'Base de Cálculo'!$B$29)</f>
        <v>5</v>
      </c>
      <c r="D36" s="223">
        <f t="shared" si="11"/>
        <v>5</v>
      </c>
      <c r="E36" s="223">
        <f>COUNTIFS('Base de Dados'!X:X,'Base de Dados'!AH$10,'Base de Dados'!Q:Q,B$29,'Base de Dados'!I:I,"x")</f>
        <v>0</v>
      </c>
      <c r="F36" s="223">
        <f>COUNTIFS('Base de Dados'!Y:Y,'Base de Dados'!AH$10,'Base de Dados'!R:R,C$19,'Base de Dados'!I:I,"x")</f>
        <v>0</v>
      </c>
      <c r="G36" s="223">
        <f>COUNTIFS('Base de Dados'!Z:Z,'Base de Dados'!AH$10,'Base de Dados'!S:S,D$19,'Base de Dados'!K:K,"x")</f>
        <v>0</v>
      </c>
      <c r="H36" s="223">
        <f>COUNTIFS('Base de Dados'!AA:AA,'Base de Dados'!AH$10,'Base de Dados'!T:T,E$19,'Base de Dados'!L:L,"x")</f>
        <v>0</v>
      </c>
      <c r="I36" s="231" t="e">
        <f>G36/(G36+H36)</f>
        <v>#DIV/0!</v>
      </c>
      <c r="J36" s="227">
        <f t="shared" si="10"/>
        <v>0</v>
      </c>
      <c r="K36">
        <f>COUNTIFS('Base de Dados'!$L:$L,'Base de Cálculo'!K$9,'Base de Dados'!$Q:$Q,$B$29,'Base de Dados'!$I:$I,"x")</f>
        <v>0</v>
      </c>
      <c r="L36">
        <f>COUNTIFS('Base de Dados'!$L:$L,'Base de Cálculo'!L$9,'Base de Dados'!$Q:$Q,$B$29,'Base de Dados'!$I:$I,"x")</f>
        <v>0</v>
      </c>
      <c r="M36">
        <f>COUNTIFS('Base de Dados'!$L:$L,'Base de Cálculo'!M$9,'Base de Dados'!$Q:$Q,$B$29,'Base de Dados'!$I:$I,"x")</f>
        <v>2</v>
      </c>
      <c r="N36">
        <f>COUNTIFS('Base de Dados'!$K:$K,'Base de Cálculo'!N$19,'Base de Dados'!$Q:$Q,'Base de Cálculo'!$B$29,'Base de Dados'!$I:$I,"x")</f>
        <v>0</v>
      </c>
      <c r="O36">
        <f>COUNTIFS('Base de Dados'!$K:$K,'Base de Cálculo'!O$29,'Base de Dados'!$Q:$Q,'Base de Cálculo'!$B$29,'Base de Dados'!$I:$I,"x")</f>
        <v>3</v>
      </c>
      <c r="P36">
        <f>COUNTIFS('Base de Dados'!$V:$V,"&gt;=2",'Base de Dados'!$Q:$Q,'Base de Cálculo'!$B29,'Base de Dados'!$X:$X,"&lt;&gt;Rejeitado",'Base de Dados'!I:I,"X")</f>
        <v>4</v>
      </c>
      <c r="Q36">
        <f>COUNTIFS('Base de Dados'!$V:$V,"&lt;2",'Base de Dados'!$Q:$Q,'Base de Cálculo'!$B29,'Base de Dados'!$X:$X,"&lt;&gt;Rejeitado",'Base de Dados'!I:I,"X")</f>
        <v>0</v>
      </c>
      <c r="R36">
        <f>COUNTIFS('Base de Dados'!$AE:$AE,"1",'Base de Dados'!$Q:$Q,'Base de Cálculo'!$B$29,'Base de Dados'!$I:$I,"X")</f>
        <v>1</v>
      </c>
      <c r="S36">
        <f>COUNTIFS('Base de Dados'!$AE:$AE,"2",'Base de Dados'!$Q:$Q,'Base de Cálculo'!$B$29,'Base de Dados'!$I:$I,"X")</f>
        <v>0</v>
      </c>
      <c r="T36">
        <f>COUNTIFS('Base de Dados'!$AE:$AE,"3",'Base de Dados'!$Q:$Q,'Base de Cálculo'!$B$29,'Base de Dados'!$I:$I,"X")</f>
        <v>0</v>
      </c>
    </row>
    <row r="37" spans="2:21" ht="18">
      <c r="B37" s="216" t="s">
        <v>656</v>
      </c>
      <c r="C37">
        <f>COUNTIFS('Base de Dados'!J:J,"&gt;=3",'Base de Dados'!Q:Q,'Base de Cálculo'!$B$29)</f>
        <v>5</v>
      </c>
      <c r="D37" s="223">
        <f>G37+H37</f>
        <v>2</v>
      </c>
      <c r="E37" s="223">
        <f>COUNTIFS('Base de Dados'!$X:$X,'Base de Dados'!$AK9,'Base de Dados'!$Q:$Q,$B29,'Base de Dados'!$J:$J,"&gt;=3")</f>
        <v>3</v>
      </c>
      <c r="F37" s="223">
        <f>COUNTIFS('Base de Dados'!$X:$X,'Base de Dados'!$AK8,'Base de Dados'!$Q:$Q,$B29,'Base de Dados'!$J:$J,"&gt;=3")</f>
        <v>0</v>
      </c>
      <c r="G37" s="223">
        <f>COUNTIFS('Base de Dados'!$X:$X,'Base de Dados'!$AK6,'Base de Dados'!$Q:$Q,$B29,'Base de Dados'!$J:$J,"&gt;=3")</f>
        <v>1</v>
      </c>
      <c r="H37" s="223">
        <f>COUNTIFS('Base de Dados'!$X:$X,'Base de Dados'!$AK7,'Base de Dados'!$Q:$Q,$B29,'Base de Dados'!$J:$J,"&gt;=3")</f>
        <v>1</v>
      </c>
      <c r="I37" s="231">
        <f t="shared" ref="I37" si="12">G37/(G37+H37)</f>
        <v>0.5</v>
      </c>
      <c r="J37" s="227">
        <f t="shared" si="10"/>
        <v>0.6</v>
      </c>
      <c r="K37">
        <f>COUNTIFS('Base de Dados'!$L:$L,'Base de Cálculo'!K$9,'Base de Dados'!$Q:$Q,$B$29,'Base de Dados'!$J:$J,"&gt;=3")</f>
        <v>1</v>
      </c>
      <c r="L37">
        <f>COUNTIFS('Base de Dados'!$L:$L,'Base de Cálculo'!L$9,'Base de Dados'!$Q:$Q,$B$29,'Base de Dados'!$J:$J,"&gt;=3")</f>
        <v>0</v>
      </c>
      <c r="M37">
        <f>COUNTIFS('Base de Dados'!$L:$L,'Base de Cálculo'!M$9,'Base de Dados'!$Q:$Q,$B$29,'Base de Dados'!$J:$J,"&gt;=3")</f>
        <v>1</v>
      </c>
      <c r="N37">
        <f>COUNTIFS('Base de Dados'!$K:$K,'Base de Cálculo'!N$19,'Base de Dados'!$Q:$Q,'Base de Cálculo'!$B$29,'Base de Dados'!$J:$J,"&gt;=3")</f>
        <v>0</v>
      </c>
      <c r="O37">
        <f>COUNTIFS('Base de Dados'!$K:$K,'Base de Cálculo'!O$29,'Base de Dados'!$Q:$Q,'Base de Cálculo'!$B$29,'Base de Dados'!$J:$J,"&gt;=3")</f>
        <v>0</v>
      </c>
      <c r="P37">
        <f>COUNTIFS('Base de Dados'!$V:$V,"&gt;=2",'Base de Dados'!$Q:$Q,'Base de Cálculo'!$B29,'Base de Dados'!$X:$X,"&lt;&gt;Rejeitado",'Base de Dados'!$J:$J,"&gt;=3")</f>
        <v>2</v>
      </c>
      <c r="Q37">
        <f>COUNTIFS('Base de Dados'!$V:$V,"&lt;2",'Base de Dados'!$Q:$Q,'Base de Cálculo'!$B29,'Base de Dados'!$X:$X,"&lt;&gt;Rejeitado",'Base de Dados'!$J:$J,"&gt;=3")</f>
        <v>0</v>
      </c>
      <c r="R37">
        <f>COUNTIFS('Base de Dados'!$AE:$AE,"1",'Base de Dados'!$Q:$Q,'Base de Cálculo'!$B$29,'Base de Dados'!$J:$J,"&gt;=3")</f>
        <v>1</v>
      </c>
      <c r="S37">
        <f>COUNTIFS('Base de Dados'!$AE:$AE,"2",'Base de Dados'!$Q:$Q,'Base de Cálculo'!$B$29,'Base de Dados'!$J:$J,"&gt;=3")</f>
        <v>0</v>
      </c>
      <c r="T37">
        <f>COUNTIFS('Base de Dados'!$AE:$AE,"3",'Base de Dados'!$Q:$Q,'Base de Cálculo'!$B$29,'Base de Dados'!$J:$J,"&gt;=3")</f>
        <v>0</v>
      </c>
    </row>
    <row r="43" spans="2:21" ht="18">
      <c r="C43" s="277" t="s">
        <v>29</v>
      </c>
      <c r="D43" s="277" t="s">
        <v>34</v>
      </c>
      <c r="E43" s="278" t="s">
        <v>657</v>
      </c>
      <c r="F43" s="278" t="s">
        <v>658</v>
      </c>
      <c r="G43" s="278" t="s">
        <v>659</v>
      </c>
      <c r="H43" s="278" t="s">
        <v>660</v>
      </c>
      <c r="I43" s="277" t="s">
        <v>68</v>
      </c>
      <c r="J43" s="278" t="s">
        <v>661</v>
      </c>
      <c r="K43" s="278" t="s">
        <v>662</v>
      </c>
      <c r="L43" s="278" t="s">
        <v>663</v>
      </c>
      <c r="M43" s="278" t="s">
        <v>664</v>
      </c>
      <c r="N43" s="278" t="s">
        <v>665</v>
      </c>
      <c r="R43" s="131">
        <v>24</v>
      </c>
      <c r="S43" s="320">
        <v>0.24</v>
      </c>
      <c r="T43" s="131">
        <v>25</v>
      </c>
      <c r="U43" s="320">
        <v>0.25</v>
      </c>
    </row>
    <row r="44" spans="2:21" ht="18">
      <c r="B44" s="76">
        <v>2024</v>
      </c>
      <c r="C44">
        <f>COUNTIFS('Base de Dados'!$Q:$Q,'Base de Cálculo'!$B$44,'Base de Dados'!$O:$O,'Base de Cálculo'!C43)</f>
        <v>13</v>
      </c>
      <c r="D44">
        <f>COUNTIFS('Base de Dados'!$Q:$Q,'Base de Cálculo'!$B$44,'Base de Dados'!$O:$O,'Base de Cálculo'!D43)</f>
        <v>6</v>
      </c>
      <c r="E44">
        <f>COUNTIFS('Base de Dados'!$Q:$Q,'Base de Cálculo'!$B$44,'Base de Dados'!$O:$O,'Base de Cálculo'!E43)</f>
        <v>8</v>
      </c>
      <c r="F44">
        <f>COUNTIFS('Base de Dados'!$Q:$Q,'Base de Cálculo'!$B$44,'Base de Dados'!$O:$O,'Base de Cálculo'!F43)</f>
        <v>8</v>
      </c>
      <c r="G44">
        <f>COUNTIFS('Base de Dados'!$Q:$Q,'Base de Cálculo'!$B$44,'Base de Dados'!$O:$O,'Base de Cálculo'!G43)</f>
        <v>5</v>
      </c>
      <c r="H44">
        <f>COUNTIFS('Base de Dados'!$Q:$Q,'Base de Cálculo'!$B$44,'Base de Dados'!$O:$O,'Base de Cálculo'!H43)</f>
        <v>5</v>
      </c>
      <c r="I44">
        <f>COUNTIFS('Base de Dados'!$Q:$Q,'Base de Cálculo'!$B$44,'Base de Dados'!$O:$O,'Base de Cálculo'!I43)</f>
        <v>5</v>
      </c>
      <c r="J44">
        <f>COUNTIFS('Base de Dados'!$Q:$Q,'Base de Cálculo'!$B$44,'Base de Dados'!$O:$O,'Base de Cálculo'!J43)</f>
        <v>9</v>
      </c>
      <c r="K44">
        <f>COUNTIFS('Base de Dados'!$Q:$Q,'Base de Cálculo'!$B$44,'Base de Dados'!$O:$O,'Base de Cálculo'!K43)</f>
        <v>5</v>
      </c>
      <c r="L44">
        <f>COUNTIFS('Base de Dados'!$Q:$Q,'Base de Cálculo'!$B$44,'Base de Dados'!$O:$O,'Base de Cálculo'!L43)</f>
        <v>6</v>
      </c>
      <c r="M44">
        <f>COUNTIFS('Base de Dados'!$Q:$Q,'Base de Cálculo'!$B$44,'Base de Dados'!$O:$O,'Base de Cálculo'!M43)</f>
        <v>5</v>
      </c>
      <c r="N44">
        <f>COUNTIFS('Base de Dados'!$Q:$Q,'Base de Cálculo'!$B$44,'Base de Dados'!$O:$O,'Base de Cálculo'!N43)</f>
        <v>4</v>
      </c>
      <c r="Q44" s="131" t="s">
        <v>744</v>
      </c>
      <c r="R44">
        <v>17</v>
      </c>
      <c r="S44" s="125">
        <f>R44/$R$49</f>
        <v>0.21518987341772153</v>
      </c>
      <c r="T44">
        <v>36</v>
      </c>
      <c r="U44" s="125">
        <f>T44/$T$49</f>
        <v>0.34285714285714286</v>
      </c>
    </row>
    <row r="45" spans="2:21" ht="18">
      <c r="C45" s="277" t="s">
        <v>29</v>
      </c>
      <c r="D45" s="277" t="s">
        <v>34</v>
      </c>
      <c r="E45" s="278" t="s">
        <v>657</v>
      </c>
      <c r="F45" s="278" t="s">
        <v>658</v>
      </c>
      <c r="G45" s="278" t="s">
        <v>659</v>
      </c>
      <c r="H45" s="278" t="s">
        <v>660</v>
      </c>
      <c r="I45" s="277" t="s">
        <v>68</v>
      </c>
      <c r="J45" s="278" t="s">
        <v>661</v>
      </c>
      <c r="K45" s="278" t="s">
        <v>662</v>
      </c>
      <c r="L45" s="278" t="s">
        <v>663</v>
      </c>
      <c r="M45" s="278" t="s">
        <v>664</v>
      </c>
      <c r="N45" s="278" t="s">
        <v>665</v>
      </c>
      <c r="Q45" s="131" t="s">
        <v>745</v>
      </c>
      <c r="R45">
        <v>26</v>
      </c>
      <c r="S45" s="125">
        <f>R45/$R$49</f>
        <v>0.32911392405063289</v>
      </c>
      <c r="T45">
        <v>28</v>
      </c>
      <c r="U45" s="125">
        <f>T45/$T$49</f>
        <v>0.26666666666666666</v>
      </c>
    </row>
    <row r="46" spans="2:21" ht="18">
      <c r="B46" s="76">
        <v>2025</v>
      </c>
      <c r="C46">
        <f>COUNTIFS('Base de Dados'!$Q:$Q,'Base de Cálculo'!$B$46,'Base de Dados'!$O:$O,'Base de Cálculo'!C43)</f>
        <v>17</v>
      </c>
      <c r="D46">
        <f>COUNTIFS('Base de Dados'!$Q:$Q,'Base de Cálculo'!$B$46,'Base de Dados'!$O:$O,'Base de Cálculo'!D43)</f>
        <v>12</v>
      </c>
      <c r="E46">
        <f>COUNTIFS('Base de Dados'!$Q:$Q,'Base de Cálculo'!$B$46,'Base de Dados'!$O:$O,'Base de Cálculo'!E43)</f>
        <v>8</v>
      </c>
      <c r="F46">
        <f>COUNTIFS('Base de Dados'!$Q:$Q,'Base de Cálculo'!$B$46,'Base de Dados'!$O:$O,'Base de Cálculo'!F43)</f>
        <v>9</v>
      </c>
      <c r="G46">
        <f>COUNTIFS('Base de Dados'!$Q:$Q,'Base de Cálculo'!$B$46,'Base de Dados'!$O:$O,'Base de Cálculo'!G43)</f>
        <v>10</v>
      </c>
      <c r="H46">
        <f>COUNTIFS('Base de Dados'!$Q:$Q,'Base de Cálculo'!$B$46,'Base de Dados'!$O:$O,'Base de Cálculo'!H43)</f>
        <v>5</v>
      </c>
      <c r="I46">
        <f>COUNTIFS('Base de Dados'!$Q:$Q,'Base de Cálculo'!$B$46,'Base de Dados'!$O:$O,'Base de Cálculo'!I43)</f>
        <v>11</v>
      </c>
      <c r="J46">
        <f>COUNTIFS('Base de Dados'!$Q:$Q,'Base de Cálculo'!$B$46,'Base de Dados'!$O:$O,'Base de Cálculo'!J43)</f>
        <v>3</v>
      </c>
      <c r="K46">
        <f>COUNTIFS('Base de Dados'!$Q:$Q,'Base de Cálculo'!$B$46,'Base de Dados'!$O:$O,'Base de Cálculo'!K43)</f>
        <v>10</v>
      </c>
      <c r="L46">
        <f>COUNTIFS('Base de Dados'!$Q:$Q,'Base de Cálculo'!$B$46,'Base de Dados'!$O:$O,'Base de Cálculo'!L43)</f>
        <v>7</v>
      </c>
      <c r="M46">
        <f>COUNTIFS('Base de Dados'!$Q:$Q,'Base de Cálculo'!$B$46,'Base de Dados'!$O:$O,'Base de Cálculo'!M43)</f>
        <v>8</v>
      </c>
      <c r="N46">
        <f>COUNTIFS('Base de Dados'!$Q:$Q,'Base de Cálculo'!$B$46,'Base de Dados'!$O:$O,'Base de Cálculo'!N43)</f>
        <v>5</v>
      </c>
      <c r="Q46" s="131" t="s">
        <v>746</v>
      </c>
      <c r="R46">
        <v>17</v>
      </c>
      <c r="S46" s="125">
        <f>R46/$R$49</f>
        <v>0.21518987341772153</v>
      </c>
      <c r="T46">
        <v>22</v>
      </c>
      <c r="U46" s="125">
        <f>T46/$T$49</f>
        <v>0.20952380952380953</v>
      </c>
    </row>
    <row r="47" spans="2:21" ht="18">
      <c r="C47" s="277" t="s">
        <v>29</v>
      </c>
      <c r="D47" s="277" t="s">
        <v>34</v>
      </c>
      <c r="E47" s="278" t="s">
        <v>657</v>
      </c>
      <c r="F47" s="278" t="s">
        <v>658</v>
      </c>
      <c r="G47" s="278" t="s">
        <v>659</v>
      </c>
      <c r="H47" s="278" t="s">
        <v>660</v>
      </c>
      <c r="I47" s="277" t="s">
        <v>68</v>
      </c>
      <c r="J47" s="278" t="s">
        <v>661</v>
      </c>
      <c r="K47" s="278" t="s">
        <v>662</v>
      </c>
      <c r="L47" s="278" t="s">
        <v>663</v>
      </c>
      <c r="M47" s="278" t="s">
        <v>664</v>
      </c>
      <c r="N47" s="278" t="s">
        <v>665</v>
      </c>
      <c r="Q47" s="131" t="s">
        <v>495</v>
      </c>
      <c r="R47">
        <v>27</v>
      </c>
      <c r="S47" s="125">
        <f>R47/$R$49</f>
        <v>0.34177215189873417</v>
      </c>
      <c r="T47">
        <v>22</v>
      </c>
      <c r="U47" s="125">
        <f>T47/$T$49</f>
        <v>0.20952380952380953</v>
      </c>
    </row>
    <row r="48" spans="2:21" ht="18">
      <c r="B48" s="76">
        <v>2026</v>
      </c>
    </row>
    <row r="49" spans="3:20">
      <c r="R49">
        <v>79</v>
      </c>
      <c r="T49">
        <v>105</v>
      </c>
    </row>
    <row r="51" spans="3:20">
      <c r="C51" s="223"/>
      <c r="D51" s="223"/>
      <c r="E51" s="223"/>
      <c r="F51" s="223"/>
    </row>
    <row r="52" spans="3:20">
      <c r="C52" s="125"/>
      <c r="D52" s="125"/>
      <c r="E52" s="125"/>
      <c r="F52" s="125"/>
    </row>
    <row r="53" spans="3:20">
      <c r="C53" s="125"/>
      <c r="D53" s="125"/>
      <c r="E53" s="125"/>
      <c r="F53" s="125"/>
    </row>
  </sheetData>
  <sheetProtection sheet="1" objects="1" scenarios="1"/>
  <mergeCells count="1">
    <mergeCell ref="B5:J7"/>
  </mergeCells>
  <phoneticPr fontId="21" type="noConversion"/>
  <dataValidations count="3">
    <dataValidation type="list" allowBlank="1" showErrorMessage="1" sqref="K9:M9 L19:M19" xr:uid="{94970668-E327-8F4E-90CF-584E3F2C9B47}">
      <formula1>$R$7:$R$7</formula1>
    </dataValidation>
    <dataValidation type="list" allowBlank="1" showInputMessage="1" showErrorMessage="1" sqref="N19:O19 N29:O29" xr:uid="{39C7FBD4-D407-034A-B472-1ACE9A723520}">
      <formula1>$AI$6:$AI$7</formula1>
    </dataValidation>
    <dataValidation type="list" allowBlank="1" showInputMessage="1" showErrorMessage="1" sqref="K29:M29" xr:uid="{681998CF-C0DC-D54A-8DB1-58D133445BF9}">
      <formula1>$AJ$6:$AJ$9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F0FE5-FB5D-8C4C-B225-E2C0CEBFEFB9}">
  <sheetPr codeName="Sheet7"/>
  <dimension ref="B2:I8"/>
  <sheetViews>
    <sheetView showGridLines="0" showRowColHeaders="0" zoomScaleNormal="100" zoomScaleSheetLayoutView="100" workbookViewId="0">
      <selection activeCell="W37" sqref="W37"/>
    </sheetView>
  </sheetViews>
  <sheetFormatPr baseColWidth="10" defaultColWidth="11" defaultRowHeight="16"/>
  <cols>
    <col min="1" max="1" width="4.83203125" customWidth="1"/>
    <col min="21" max="21" width="16.83203125" customWidth="1"/>
  </cols>
  <sheetData>
    <row r="2" spans="2:9" ht="16" customHeight="1">
      <c r="E2" s="332">
        <v>2024</v>
      </c>
      <c r="F2" s="332"/>
      <c r="G2" s="332"/>
    </row>
    <row r="3" spans="2:9" ht="16" customHeight="1">
      <c r="E3" s="332"/>
      <c r="F3" s="332"/>
      <c r="G3" s="332"/>
    </row>
    <row r="4" spans="2:9" ht="16" customHeight="1">
      <c r="E4" s="332"/>
      <c r="F4" s="332"/>
      <c r="G4" s="332"/>
    </row>
    <row r="5" spans="2:9" ht="16" customHeight="1">
      <c r="B5" s="331" t="s">
        <v>666</v>
      </c>
      <c r="C5" s="331"/>
      <c r="D5" s="331"/>
      <c r="E5" s="331"/>
      <c r="F5" s="331"/>
      <c r="G5" s="331"/>
      <c r="H5" s="331"/>
      <c r="I5" s="212"/>
    </row>
    <row r="6" spans="2:9" ht="16" customHeight="1">
      <c r="B6" s="331"/>
      <c r="C6" s="331"/>
      <c r="D6" s="331"/>
      <c r="E6" s="331"/>
      <c r="F6" s="331"/>
      <c r="G6" s="331"/>
      <c r="H6" s="331"/>
      <c r="I6" s="212"/>
    </row>
    <row r="7" spans="2:9" ht="16" customHeight="1">
      <c r="B7" s="331"/>
      <c r="C7" s="331"/>
      <c r="D7" s="331"/>
      <c r="E7" s="331"/>
      <c r="F7" s="331"/>
      <c r="G7" s="331"/>
      <c r="H7" s="331"/>
      <c r="I7" s="212"/>
    </row>
    <row r="8" spans="2:9" ht="16" customHeight="1">
      <c r="B8" s="213" t="s">
        <v>667</v>
      </c>
      <c r="C8" s="212"/>
      <c r="D8" s="212"/>
      <c r="E8" s="212"/>
      <c r="F8" s="212"/>
      <c r="G8" s="212"/>
      <c r="I8" s="212"/>
    </row>
  </sheetData>
  <sheetProtection sheet="1" objects="1" scenarios="1" selectLockedCells="1" selectUnlockedCells="1"/>
  <mergeCells count="2">
    <mergeCell ref="E2:G4"/>
    <mergeCell ref="B5:H7"/>
  </mergeCells>
  <pageMargins left="0.7" right="0.7" top="0.75" bottom="0.75" header="0.3" footer="0.3"/>
  <pageSetup paperSize="9" orientation="portrait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52A5D-8D3D-A346-AE0F-6582A2B87102}">
  <sheetPr codeName="Sheet8"/>
  <dimension ref="B2:I8"/>
  <sheetViews>
    <sheetView showGridLines="0" showRowColHeaders="0" zoomScaleNormal="100" zoomScaleSheetLayoutView="100" workbookViewId="0">
      <selection activeCell="G9" sqref="G9"/>
    </sheetView>
  </sheetViews>
  <sheetFormatPr baseColWidth="10" defaultColWidth="11" defaultRowHeight="16"/>
  <cols>
    <col min="1" max="1" width="4.83203125" customWidth="1"/>
    <col min="21" max="21" width="16.83203125" customWidth="1"/>
  </cols>
  <sheetData>
    <row r="2" spans="2:9" ht="16" customHeight="1">
      <c r="E2" s="332">
        <v>2025</v>
      </c>
      <c r="F2" s="332"/>
      <c r="G2" s="332"/>
    </row>
    <row r="3" spans="2:9" ht="16" customHeight="1">
      <c r="E3" s="332"/>
      <c r="F3" s="332"/>
      <c r="G3" s="332"/>
    </row>
    <row r="4" spans="2:9" ht="16" customHeight="1">
      <c r="E4" s="332"/>
      <c r="F4" s="332"/>
      <c r="G4" s="332"/>
    </row>
    <row r="5" spans="2:9" ht="16" customHeight="1">
      <c r="B5" s="331" t="s">
        <v>666</v>
      </c>
      <c r="C5" s="331"/>
      <c r="D5" s="331"/>
      <c r="E5" s="331"/>
      <c r="F5" s="331"/>
      <c r="G5" s="331"/>
      <c r="H5" s="331"/>
      <c r="I5" s="212"/>
    </row>
    <row r="6" spans="2:9" ht="16" customHeight="1">
      <c r="B6" s="331"/>
      <c r="C6" s="331"/>
      <c r="D6" s="331"/>
      <c r="E6" s="331"/>
      <c r="F6" s="331"/>
      <c r="G6" s="331"/>
      <c r="H6" s="331"/>
      <c r="I6" s="212"/>
    </row>
    <row r="7" spans="2:9" ht="16" customHeight="1">
      <c r="B7" s="331"/>
      <c r="C7" s="331"/>
      <c r="D7" s="331"/>
      <c r="E7" s="331"/>
      <c r="F7" s="331"/>
      <c r="G7" s="331"/>
      <c r="H7" s="331"/>
      <c r="I7" s="212"/>
    </row>
    <row r="8" spans="2:9" ht="16" customHeight="1">
      <c r="B8" s="213"/>
      <c r="C8" s="212"/>
      <c r="D8" s="212"/>
      <c r="E8" s="212"/>
      <c r="F8" s="212"/>
      <c r="G8" s="212"/>
      <c r="I8" s="212"/>
    </row>
  </sheetData>
  <sheetProtection sheet="1" scenarios="1" selectLockedCells="1" selectUnlockedCells="1"/>
  <mergeCells count="2">
    <mergeCell ref="B5:H7"/>
    <mergeCell ref="E2:G4"/>
  </mergeCells>
  <pageMargins left="0.7" right="0.7" top="0.75" bottom="0.75" header="0.3" footer="0.3"/>
  <pageSetup paperSize="9" orientation="portrait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E5E84-9810-9D40-8D4E-360618BC60CF}">
  <dimension ref="B2:I8"/>
  <sheetViews>
    <sheetView showGridLines="0" showRowColHeaders="0" zoomScaleNormal="100" zoomScaleSheetLayoutView="100" workbookViewId="0">
      <selection activeCell="W35" sqref="W35"/>
    </sheetView>
  </sheetViews>
  <sheetFormatPr baseColWidth="10" defaultColWidth="11" defaultRowHeight="16"/>
  <cols>
    <col min="1" max="1" width="4.83203125" customWidth="1"/>
    <col min="21" max="21" width="16.83203125" customWidth="1"/>
  </cols>
  <sheetData>
    <row r="2" spans="2:9" ht="16" customHeight="1">
      <c r="E2" s="332">
        <v>2026</v>
      </c>
      <c r="F2" s="332"/>
      <c r="G2" s="332"/>
    </row>
    <row r="3" spans="2:9" ht="16" customHeight="1">
      <c r="E3" s="332"/>
      <c r="F3" s="332"/>
      <c r="G3" s="332"/>
    </row>
    <row r="4" spans="2:9" ht="16" customHeight="1">
      <c r="E4" s="332"/>
      <c r="F4" s="332"/>
      <c r="G4" s="332"/>
    </row>
    <row r="5" spans="2:9" ht="16" customHeight="1">
      <c r="B5" s="331" t="s">
        <v>666</v>
      </c>
      <c r="C5" s="331"/>
      <c r="D5" s="331"/>
      <c r="E5" s="331"/>
      <c r="F5" s="331"/>
      <c r="G5" s="331"/>
      <c r="H5" s="331"/>
      <c r="I5" s="212"/>
    </row>
    <row r="6" spans="2:9" ht="16" customHeight="1">
      <c r="B6" s="331"/>
      <c r="C6" s="331"/>
      <c r="D6" s="331"/>
      <c r="E6" s="331"/>
      <c r="F6" s="331"/>
      <c r="G6" s="331"/>
      <c r="H6" s="331"/>
      <c r="I6" s="212"/>
    </row>
    <row r="7" spans="2:9" ht="16" customHeight="1">
      <c r="B7" s="331"/>
      <c r="C7" s="331"/>
      <c r="D7" s="331"/>
      <c r="E7" s="331"/>
      <c r="F7" s="331"/>
      <c r="G7" s="331"/>
      <c r="H7" s="331"/>
      <c r="I7" s="212"/>
    </row>
    <row r="8" spans="2:9" ht="16" customHeight="1">
      <c r="B8" s="213"/>
      <c r="C8" s="212"/>
      <c r="D8" s="212"/>
      <c r="E8" s="212"/>
      <c r="F8" s="212"/>
      <c r="G8" s="212"/>
      <c r="I8" s="212"/>
    </row>
  </sheetData>
  <sheetProtection selectLockedCells="1" selectUnlockedCells="1"/>
  <mergeCells count="2">
    <mergeCell ref="E2:G4"/>
    <mergeCell ref="B5:H7"/>
  </mergeCells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BE0499BF506D41BEABF2D1793F1956" ma:contentTypeVersion="4" ma:contentTypeDescription="Create a new document." ma:contentTypeScope="" ma:versionID="850d73530990cb0ea87cad90dcb25144">
  <xsd:schema xmlns:xsd="http://www.w3.org/2001/XMLSchema" xmlns:xs="http://www.w3.org/2001/XMLSchema" xmlns:p="http://schemas.microsoft.com/office/2006/metadata/properties" xmlns:ns2="ec59c90d-02af-4ff6-8278-699cb3e79f74" targetNamespace="http://schemas.microsoft.com/office/2006/metadata/properties" ma:root="true" ma:fieldsID="165331825c76fcd1825db4536312dec9" ns2:_="">
    <xsd:import namespace="ec59c90d-02af-4ff6-8278-699cb3e79f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59c90d-02af-4ff6-8278-699cb3e79f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7ACE993-0279-49A1-A087-6E5A6C9656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59c90d-02af-4ff6-8278-699cb3e79f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B9EA1B-F51B-4896-AA7C-5B712AD02A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F21351-250A-46D7-B599-F490A8C520C3}">
  <ds:schemaRefs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c59c90d-02af-4ff6-8278-699cb3e79f74"/>
    <ds:schemaRef ds:uri="http://www.w3.org/XML/1998/namespace"/>
    <ds:schemaRef ds:uri="http://purl.org/dc/terms/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BD 2023</vt:lpstr>
      <vt:lpstr>BD 2024</vt:lpstr>
      <vt:lpstr>23 vs 24</vt:lpstr>
      <vt:lpstr>Folha1</vt:lpstr>
      <vt:lpstr>Base de Dados</vt:lpstr>
      <vt:lpstr>Base de Cálculo</vt:lpstr>
      <vt:lpstr>NB Dashboard 2024</vt:lpstr>
      <vt:lpstr>NB Dashboard 2025</vt:lpstr>
      <vt:lpstr>NB Dashboard 2026</vt:lpstr>
      <vt:lpstr>NB Overview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António Saraiva</dc:creator>
  <cp:keywords/>
  <dc:description/>
  <cp:lastModifiedBy>António Saraiva</cp:lastModifiedBy>
  <cp:revision/>
  <dcterms:created xsi:type="dcterms:W3CDTF">2024-10-09T11:28:11Z</dcterms:created>
  <dcterms:modified xsi:type="dcterms:W3CDTF">2026-05-06T17:55:19Z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0x010100D4BE0499BF506D41BEABF2D1793F1956</vt:lpwstr>
  </property>
</Properties>
</file>